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20" windowWidth="11616" windowHeight="6288" tabRatio="945" firstSheet="1" activeTab="7"/>
  </bookViews>
  <sheets>
    <sheet name="GASTOS CONSOLIDADO" sheetId="1" r:id="rId1"/>
    <sheet name="FONACIDE" sheetId="2" r:id="rId2"/>
    <sheet name="ROYALTIES" sheetId="3" r:id="rId3"/>
    <sheet name="ROYALTIE" sheetId="4" r:id="rId4"/>
    <sheet name="GENUINO" sheetId="5" r:id="rId5"/>
    <sheet name="ING.MATRIZ" sheetId="6" r:id="rId6"/>
    <sheet name="ING.FONACIDE" sheetId="7" r:id="rId7"/>
    <sheet name="ING.ROYALTIES" sheetId="8" r:id="rId8"/>
    <sheet name="BALANCE" sheetId="9" r:id="rId9"/>
    <sheet name="ESTADO DE RESULTADO" sheetId="10" r:id="rId10"/>
    <sheet name="HOJA" sheetId="11" r:id="rId11"/>
    <sheet name="HOJA2" sheetId="12" r:id="rId12"/>
  </sheets>
  <externalReferences>
    <externalReference r:id="rId15"/>
  </externalReferences>
  <definedNames>
    <definedName name="_xlnm._FilterDatabase" localSheetId="10" hidden="1">'HOJA'!$A$1:$D$89</definedName>
    <definedName name="_xlnm.Print_Titles" localSheetId="8">'BALANCE'!$10:$12</definedName>
    <definedName name="_xlnm.Print_Titles" localSheetId="9">'ESTADO DE RESULTADO'!$10:$12</definedName>
    <definedName name="_xlnm.Print_Titles" localSheetId="1">'FONACIDE'!$11:$13</definedName>
    <definedName name="_xlnm.Print_Titles" localSheetId="0">'GASTOS CONSOLIDADO'!$7:$16</definedName>
    <definedName name="_xlnm.Print_Titles" localSheetId="4">'GENUINO'!$8:$18</definedName>
    <definedName name="_xlnm.Print_Titles" localSheetId="6">'ING.FONACIDE'!$5:$10</definedName>
    <definedName name="_xlnm.Print_Titles" localSheetId="5">'ING.MATRIZ'!$2:$7</definedName>
    <definedName name="_xlnm.Print_Titles" localSheetId="7">'ING.ROYALTIES'!$6:$11</definedName>
    <definedName name="_xlnm.Print_Titles" localSheetId="3">'ROYALTIE'!$8:$19</definedName>
    <definedName name="_xlnm.Print_Titles" localSheetId="2">'ROYALTIES'!$1:$19</definedName>
  </definedNames>
  <calcPr fullCalcOnLoad="1"/>
</workbook>
</file>

<file path=xl/comments5.xml><?xml version="1.0" encoding="utf-8"?>
<comments xmlns="http://schemas.openxmlformats.org/spreadsheetml/2006/main">
  <authors>
    <author>Rosana</author>
  </authors>
  <commentList>
    <comment ref="H286" authorId="0">
      <text>
        <r>
          <rPr>
            <b/>
            <sz val="9"/>
            <rFont val="Tahoma"/>
            <family val="2"/>
          </rPr>
          <t>Rosana: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<sst xmlns="http://schemas.openxmlformats.org/spreadsheetml/2006/main" count="1607" uniqueCount="593">
  <si>
    <t>Aportes del Gobierno Central con Royalties</t>
  </si>
  <si>
    <t>Impuesto al Transporte Colectivo de Pasajeros</t>
  </si>
  <si>
    <t>Impuesto a las Rifas, Ventas por Sorteos y Sorteos Publicitarios</t>
  </si>
  <si>
    <t>182</t>
  </si>
  <si>
    <t>Donaciones del Exterior</t>
  </si>
  <si>
    <t>190</t>
  </si>
  <si>
    <t>OTROS RECURSOS CORRIENTES</t>
  </si>
  <si>
    <t>191</t>
  </si>
  <si>
    <t>Otros Recursos</t>
  </si>
  <si>
    <t>Cobro por Registro de OPACI</t>
  </si>
  <si>
    <t>231</t>
  </si>
  <si>
    <t>CÓDIGO</t>
  </si>
  <si>
    <t>DESCRIPCIÓN</t>
  </si>
  <si>
    <t>%</t>
  </si>
  <si>
    <t>Grup</t>
  </si>
  <si>
    <t>F.F.</t>
  </si>
  <si>
    <t>O.F.</t>
  </si>
  <si>
    <t>TOTAL GASTOS</t>
  </si>
  <si>
    <t>GASTOS CORRIENTES</t>
  </si>
  <si>
    <t>SERVICIOS PERSONALES</t>
  </si>
  <si>
    <t>Remuneraciones Básicas</t>
  </si>
  <si>
    <t>001</t>
  </si>
  <si>
    <t>Sueldos</t>
  </si>
  <si>
    <t>Dieta</t>
  </si>
  <si>
    <t>Gastos de Representación</t>
  </si>
  <si>
    <t>Aguinaldo</t>
  </si>
  <si>
    <t>Remuneraciones Temporales</t>
  </si>
  <si>
    <t>Remuneración Extraordinaria</t>
  </si>
  <si>
    <t>Bonificaciones y Gratificaciones</t>
  </si>
  <si>
    <t>Aporte Jubilatorio del Empleador</t>
  </si>
  <si>
    <t>Bonificaciones por Ventas</t>
  </si>
  <si>
    <t>Jornales</t>
  </si>
  <si>
    <t>011</t>
  </si>
  <si>
    <t>007</t>
  </si>
  <si>
    <t>SERVICIOS NO PERSONALES</t>
  </si>
  <si>
    <t>Servicios Básicos</t>
  </si>
  <si>
    <t>Pasajes y Viáticos</t>
  </si>
  <si>
    <t>Gastos p/ Serv. de Aseo Mant. y Repar.</t>
  </si>
  <si>
    <t>Alquileres y Derechos</t>
  </si>
  <si>
    <t>Servicios Técnicos y Profesionales</t>
  </si>
  <si>
    <t>Servicio Social</t>
  </si>
  <si>
    <t>BIENES DE CONSUMO E INSUMOS</t>
  </si>
  <si>
    <t>Productos  Alimenticios</t>
  </si>
  <si>
    <t>Textiles y Vestuarios</t>
  </si>
  <si>
    <t>Productos de Papel, Cartón e Impresos</t>
  </si>
  <si>
    <t>Bienes de Consumo de Oficina e Insumos</t>
  </si>
  <si>
    <t>Combustibles y Lubricantes</t>
  </si>
  <si>
    <t>Contratación de Personal de Salud</t>
  </si>
  <si>
    <t>Otros Servicios Generales</t>
  </si>
  <si>
    <t>Servicios de Capacitación y Adiestramiento</t>
  </si>
  <si>
    <t>******</t>
  </si>
  <si>
    <t>Transferencias de Capital al Sector Privado</t>
  </si>
  <si>
    <t>Otros Bienes de Consumo</t>
  </si>
  <si>
    <t>Transferencias Corrientes al Sector Público</t>
  </si>
  <si>
    <t>002</t>
  </si>
  <si>
    <t>003</t>
  </si>
  <si>
    <t>Transferencias a Municipalidades</t>
  </si>
  <si>
    <t>Otras Transf.al Sector Público</t>
  </si>
  <si>
    <t>008</t>
  </si>
  <si>
    <t>Aportes a Entidades Educativas</t>
  </si>
  <si>
    <t>OPACI</t>
  </si>
  <si>
    <t>004</t>
  </si>
  <si>
    <t>005</t>
  </si>
  <si>
    <t>009</t>
  </si>
  <si>
    <t>010</t>
  </si>
  <si>
    <t>013</t>
  </si>
  <si>
    <t>OTROS GASTOS</t>
  </si>
  <si>
    <t>Pagos de Imp. Tasas y Gastos Judicial.</t>
  </si>
  <si>
    <t>Devol. de Imp. y otros Ing. no Tributario</t>
  </si>
  <si>
    <t>Deudas Pend.de Pago de Ejerc. Anterior</t>
  </si>
  <si>
    <t>Gastos Imprevistos</t>
  </si>
  <si>
    <t>Gastos Imprevistos, Varios</t>
  </si>
  <si>
    <t>GASTOS DE CAPITAL</t>
  </si>
  <si>
    <t>INVERSIÓN FÍSICA</t>
  </si>
  <si>
    <t>Construcciones</t>
  </si>
  <si>
    <t>Adquisición de Maq., Equipos y Herramientas Mayores</t>
  </si>
  <si>
    <t>530</t>
  </si>
  <si>
    <t>30</t>
  </si>
  <si>
    <t>Adquisición de Equipos de Oficina y Computación</t>
  </si>
  <si>
    <t>Estudios de Proyectos de Inversión</t>
  </si>
  <si>
    <t>Otros Gastos de Inversiones Mayores</t>
  </si>
  <si>
    <t>Otros Gastos de Inversiones  y Reparaciones Mayores</t>
  </si>
  <si>
    <t>TRANSFERENCIAS</t>
  </si>
  <si>
    <t>Det.</t>
  </si>
  <si>
    <t>F.F</t>
  </si>
  <si>
    <t>TOTAL INGRESOS</t>
  </si>
  <si>
    <t>INGRESOS CORRIENTES</t>
  </si>
  <si>
    <t>INGRESOS TRIBUTARIOS</t>
  </si>
  <si>
    <t>Impuesto sobre la Propiedad</t>
  </si>
  <si>
    <t>112</t>
  </si>
  <si>
    <t>Impuesto Inmobiliario</t>
  </si>
  <si>
    <t xml:space="preserve">Impuesto Adicional a los Baldios y Semibaldíos </t>
  </si>
  <si>
    <t>Impuesto de Patente a los Rodados</t>
  </si>
  <si>
    <t>006</t>
  </si>
  <si>
    <t>Impuesto a la Construcción</t>
  </si>
  <si>
    <t>Impuesto al Fraccionamiento de Tierra</t>
  </si>
  <si>
    <t>Impuesto a los Propietarios de Animales</t>
  </si>
  <si>
    <t>Impuesto a la Publicidad o Propaganda</t>
  </si>
  <si>
    <t>014</t>
  </si>
  <si>
    <t>015</t>
  </si>
  <si>
    <t>Impuesto al Faenamiento</t>
  </si>
  <si>
    <t>016</t>
  </si>
  <si>
    <t>017</t>
  </si>
  <si>
    <t>018</t>
  </si>
  <si>
    <t>Impuesto de Cementerios</t>
  </si>
  <si>
    <t>Otros Ingresos Tributarios</t>
  </si>
  <si>
    <t>119</t>
  </si>
  <si>
    <t>Multas</t>
  </si>
  <si>
    <t>INGRESOS NO TRIBUTARIOS</t>
  </si>
  <si>
    <t>Tasas y Derechos</t>
  </si>
  <si>
    <t>132</t>
  </si>
  <si>
    <t>021</t>
  </si>
  <si>
    <t>022</t>
  </si>
  <si>
    <t>Tasa por Contrastación e Inspección de Pesas y Medidas</t>
  </si>
  <si>
    <t>024</t>
  </si>
  <si>
    <t>025</t>
  </si>
  <si>
    <t>026</t>
  </si>
  <si>
    <t>027</t>
  </si>
  <si>
    <t>Tasa por Tablada</t>
  </si>
  <si>
    <t>CONSOLIDACIÓN DEL PRESUPUESTO TIPO 1 Y 2</t>
  </si>
  <si>
    <t>Multas y Otros Derechos no Tributarios</t>
  </si>
  <si>
    <t>133</t>
  </si>
  <si>
    <t>Venta de Bienes de la Administración Pública</t>
  </si>
  <si>
    <t>141</t>
  </si>
  <si>
    <t>142</t>
  </si>
  <si>
    <t>Uso de Tablada</t>
  </si>
  <si>
    <t>Servicios Técnicos y Administivos en General.</t>
  </si>
  <si>
    <t>TRANSFERENCIAS CORRIENTES</t>
  </si>
  <si>
    <t>153</t>
  </si>
  <si>
    <t>070</t>
  </si>
  <si>
    <t>080</t>
  </si>
  <si>
    <t>RENTAS DE LA PROPIEDAD</t>
  </si>
  <si>
    <t>163</t>
  </si>
  <si>
    <t>DONACIONES CORRIENTES</t>
  </si>
  <si>
    <t>181</t>
  </si>
  <si>
    <t>Varias</t>
  </si>
  <si>
    <t>INGRESOS DE CAPITAL</t>
  </si>
  <si>
    <t>VENTAS DE ACTIVOS</t>
  </si>
  <si>
    <t>Ventas de Activos de Capital</t>
  </si>
  <si>
    <t>211</t>
  </si>
  <si>
    <t>TRANSFERENCIAS DE CAPITAL</t>
  </si>
  <si>
    <t>223</t>
  </si>
  <si>
    <t>RECURSOS DE FINANCIAMIENTO</t>
  </si>
  <si>
    <t>340</t>
  </si>
  <si>
    <t>SALDO INICIAL DE CAJA</t>
  </si>
  <si>
    <t>341</t>
  </si>
  <si>
    <t>343</t>
  </si>
  <si>
    <t>020</t>
  </si>
  <si>
    <t>Adquisición de Maquinarias, Equipos y Herramientas Mayores</t>
  </si>
  <si>
    <t>Productos e Instrumentales Químic. y Medicinales</t>
  </si>
  <si>
    <t>Otras transferencias Corrientes al sector público o privado</t>
  </si>
  <si>
    <t>Transferencias Corrientes  al  sector Privado, Varias</t>
  </si>
  <si>
    <t>Gastos por Servicios de Aseo, Mantenimiento  y Reparación</t>
  </si>
  <si>
    <t>Gastos por Servicios de Aseo,  Mantenimiento y Reparación</t>
  </si>
  <si>
    <t>Tesoro Nac.(10% s/ Juego de Suerte o de Azar recaud.)</t>
  </si>
  <si>
    <t>Gob. Depart. (30 % s/ Juego de Suerte o de Azar recaud.)</t>
  </si>
  <si>
    <t>DIBEN (30 % s/ Juego de Suerte o de Azar recaudado)</t>
  </si>
  <si>
    <t>Juntas Comunales y/o Comisiones Vecinales</t>
  </si>
  <si>
    <t>Impuesto a la Transferencia de Bienes Raíces</t>
  </si>
  <si>
    <t>Impuestos Internos sobre Bienes y Servicios</t>
  </si>
  <si>
    <t>Sub Grupo</t>
  </si>
  <si>
    <t>Venta de Servicios de la Administración Pública.</t>
  </si>
  <si>
    <t>Arrendamiento de Inmuebles, Tierras, Terrenos y Otros.-</t>
  </si>
  <si>
    <t>180</t>
  </si>
  <si>
    <t>Uso de Piquete Municipal</t>
  </si>
  <si>
    <t>330</t>
  </si>
  <si>
    <t>Multas No Tributarias</t>
  </si>
  <si>
    <t>Usufructo de Tierra en Cementerio</t>
  </si>
  <si>
    <t>Uso de Matadero Municipal</t>
  </si>
  <si>
    <t>RECUPERACIÓN DE PRESTAMOS</t>
  </si>
  <si>
    <t>333</t>
  </si>
  <si>
    <t>Otras Transferencias a Ent. C/fines Soc. o de Emerg. Nacional</t>
  </si>
  <si>
    <t>Municipios de Menores Recursos (15 % s/ Imp. Inm. Recaud)</t>
  </si>
  <si>
    <t>Gobierno Departamental (15% s/ Imp. Inmobiliario Recaud.)</t>
  </si>
  <si>
    <t>Pagos de Impuestos, Tasas y Gastos Judiciales</t>
  </si>
  <si>
    <t>Devolución de Impuestos y Otros Ingresos no Tributarios</t>
  </si>
  <si>
    <t>Transferencias de Capital al Sector Privado, Varias</t>
  </si>
  <si>
    <t>Donaciones Nacionales</t>
  </si>
  <si>
    <t>Saldo Inicial de Tesorería</t>
  </si>
  <si>
    <t>Reembolso por Construcción de Pavimento</t>
  </si>
  <si>
    <t>Saldo Inicial de Recursos Institucionales</t>
  </si>
  <si>
    <t>Remuneración Adicional</t>
  </si>
  <si>
    <t>Asignaciones Complementarias</t>
  </si>
  <si>
    <t>Subsidio Familiar</t>
  </si>
  <si>
    <t>Bonificaciones por Grado Académico</t>
  </si>
  <si>
    <t>Gratificaciones por Servicios Especiales</t>
  </si>
  <si>
    <t>Personal Contratado</t>
  </si>
  <si>
    <t>Honorarios Profesionales</t>
  </si>
  <si>
    <t>Otros Gastos del Personal</t>
  </si>
  <si>
    <t>Transporte y Almacenaje</t>
  </si>
  <si>
    <t>Becas</t>
  </si>
  <si>
    <t>Otras Transferencias al Sector Público</t>
  </si>
  <si>
    <t>Adquisición de Inmuebles</t>
  </si>
  <si>
    <t>Otras Transferencias de Capital al Sector Público o Privado</t>
  </si>
  <si>
    <t>012</t>
  </si>
  <si>
    <t>099</t>
  </si>
  <si>
    <t>Tasa por Servicios de Salubridad</t>
  </si>
  <si>
    <t>Tasa por Inspección de Instalaciones</t>
  </si>
  <si>
    <t>Tasa por Recolección de Basuras, Limpieza de Vias Públicas y de Cementerio</t>
  </si>
  <si>
    <t>Tasa por Conservación de Parques, Jardines y Paseos Públicos</t>
  </si>
  <si>
    <t>Provisión de distintivos para Vehiculos</t>
  </si>
  <si>
    <t>Aportes del Gobierno Central con Canon Fiscal (Jegos de Azar)</t>
  </si>
  <si>
    <t>**</t>
  </si>
  <si>
    <t>Donaciones de Organismos Internacionales</t>
  </si>
  <si>
    <t>701</t>
  </si>
  <si>
    <t>Ventas de Otros Activos</t>
  </si>
  <si>
    <t>DONACIONES DE CAPITAL</t>
  </si>
  <si>
    <t>Otros Derechos no Tributarios</t>
  </si>
  <si>
    <t>Venta de Libros, Formularios y Documentos</t>
  </si>
  <si>
    <t>154</t>
  </si>
  <si>
    <t>Aportes de Municipalidades (Menores Recursos)</t>
  </si>
  <si>
    <t>161</t>
  </si>
  <si>
    <t>Intereses</t>
  </si>
  <si>
    <t xml:space="preserve">Intereses por Depósitos </t>
  </si>
  <si>
    <t>019</t>
  </si>
  <si>
    <t>Uso de Equipos Camineros</t>
  </si>
  <si>
    <t>Subsidio y Asistencia Social a Personas y Familias del Sector Privado</t>
  </si>
  <si>
    <t>Deudas Pendientes de Pagos de Ejercicios Anteriores</t>
  </si>
  <si>
    <t>SERVICIO DE LA DEUDA PÚBLICA</t>
  </si>
  <si>
    <t>Deudas Pend. de Pago de Gastos de Capital de Ejercicios Anter.</t>
  </si>
  <si>
    <t>Adquisición de Activos Intangibles</t>
  </si>
  <si>
    <t>Impuesto Adicional al Inmueble de Gran Extención y a los Latifundios</t>
  </si>
  <si>
    <t>230</t>
  </si>
  <si>
    <t>Presupuesto Vigente</t>
  </si>
  <si>
    <t>:</t>
  </si>
  <si>
    <t>Entidad</t>
  </si>
  <si>
    <t>Tipo de Presupuesto</t>
  </si>
  <si>
    <t>Programa</t>
  </si>
  <si>
    <t>Sub Programa</t>
  </si>
  <si>
    <t>Unidad Responsable</t>
  </si>
  <si>
    <t>Presupuesto Inicial</t>
  </si>
  <si>
    <t>Saldo Presupuestario</t>
  </si>
  <si>
    <t>Objet Gasto</t>
  </si>
  <si>
    <t>Transf. Consolidables por Coparticipación Juegos de Azar</t>
  </si>
  <si>
    <t>Otras Transf. a Ent. con fines Soc. o de Emergencia Nacional</t>
  </si>
  <si>
    <t>Deudas Pend. de Pago de Gastos de Capital de Ejerc. Anter.</t>
  </si>
  <si>
    <t>0</t>
  </si>
  <si>
    <t>VENTA DE BIENES Y SERVICIOS DE LAS ADMIN. PÚBLICAS</t>
  </si>
  <si>
    <t>Aportes a Entidades Educ. e Instituciones s/ fines de lucro</t>
  </si>
  <si>
    <t>Total Devengado</t>
  </si>
  <si>
    <t>Total Recaudado</t>
  </si>
  <si>
    <t>Nivel</t>
  </si>
  <si>
    <t>EJECUTIVO MUNICIPAL</t>
  </si>
  <si>
    <t>Modificaciones</t>
  </si>
  <si>
    <t>Total Obligado</t>
  </si>
  <si>
    <t>Total Pagado</t>
  </si>
  <si>
    <t>Obligaciones Pendientes de Pago</t>
  </si>
  <si>
    <t>Devengado / Recaudado</t>
  </si>
  <si>
    <t>Impuesto al Registro de Marcas y Señales de Hacienda y Legalización de Docmentos</t>
  </si>
  <si>
    <t>Alquileres Varios</t>
  </si>
  <si>
    <t>Aportes del Gobierno Central con Canon Fiscal (Juegos de Azar)</t>
  </si>
  <si>
    <t>224</t>
  </si>
  <si>
    <t>Aporte de Municipalidades (Municipios de Menores Recursos)</t>
  </si>
  <si>
    <t>313</t>
  </si>
  <si>
    <t>310</t>
  </si>
  <si>
    <t>ENDEUDAMIENTO INTERNO</t>
  </si>
  <si>
    <t>Prestamos del Sector Privado</t>
  </si>
  <si>
    <t>Prestamos de Entidades Financieras Privadas</t>
  </si>
  <si>
    <t>Interes De la Deuda Pública Interna</t>
  </si>
  <si>
    <t>Interes de la Deuda con el Sector Privado</t>
  </si>
  <si>
    <t>AJUMPA</t>
  </si>
  <si>
    <t>Amortización de la Deuda Pública Interna</t>
  </si>
  <si>
    <t>Amortización de la Deuda con el Sector Privado</t>
  </si>
  <si>
    <t>Ventas de Bienes Varios</t>
  </si>
  <si>
    <t>Provisión de energía eléctrica</t>
  </si>
  <si>
    <t>Aranceles Educativos</t>
  </si>
  <si>
    <t>Servicios medicos y hospitalarios</t>
  </si>
  <si>
    <t>Transferencias Consolidables de Entidades y Organismos del Estado por Coparticipación</t>
  </si>
  <si>
    <t>Transerencias Consolidables de Entidades y Organismos del Estado por Coparticipación</t>
  </si>
  <si>
    <t>Transferencias Consolidables de Entidades y Organismos del Estado</t>
  </si>
  <si>
    <t>Recursos Institucionales</t>
  </si>
  <si>
    <t>Impuesto a las operaciones de Créditos</t>
  </si>
  <si>
    <t>Impuesto al Papel Sellado y Estampillas Municipales</t>
  </si>
  <si>
    <t>023</t>
  </si>
  <si>
    <t>030</t>
  </si>
  <si>
    <t>032</t>
  </si>
  <si>
    <t>Recargos</t>
  </si>
  <si>
    <t>Registro de Conductor y Guarda</t>
  </si>
  <si>
    <t>Servicios Varios</t>
  </si>
  <si>
    <t>Ocupación de casillas, mesas, puestos de ventas y otros</t>
  </si>
  <si>
    <t>Modificado</t>
  </si>
  <si>
    <t>Entidad:</t>
  </si>
  <si>
    <t>Nivel:</t>
  </si>
  <si>
    <t>Uso de Teatro y salón Municipal</t>
  </si>
  <si>
    <t>Uso de Tractor Agrícola e Implementos</t>
  </si>
  <si>
    <t>Uso del Gimnasio Municipal</t>
  </si>
  <si>
    <t>EJECUCION PRESUPUESTARIA POR OBJETO DE GASTOS</t>
  </si>
  <si>
    <t>Anexo B-06-04</t>
  </si>
  <si>
    <t>Grupo</t>
  </si>
  <si>
    <t>Origen</t>
  </si>
  <si>
    <t>ANEXO B-06-03</t>
  </si>
  <si>
    <t>Otros Gastos</t>
  </si>
  <si>
    <t>BIENES DE CAMBIO</t>
  </si>
  <si>
    <t>Minerales</t>
  </si>
  <si>
    <t>Bienes e Insumos del Sector Agropecuario y Forestal</t>
  </si>
  <si>
    <t>Otras Transferencias de Capital al Sector Público</t>
  </si>
  <si>
    <t>Sub Grup</t>
  </si>
  <si>
    <t>CONCEPTO</t>
  </si>
  <si>
    <t>1 - Actividades Centrales</t>
  </si>
  <si>
    <t>1 - Conducción Superior</t>
  </si>
  <si>
    <t>1 y 2 Junta Municipal e Intendencia Municipal</t>
  </si>
  <si>
    <t>Junta Municipal e Intendencia Municipal</t>
  </si>
  <si>
    <t>2 - Programa de Acción</t>
  </si>
  <si>
    <t>1 - Desarrollo Municipal</t>
  </si>
  <si>
    <t>Intendencia Municipal</t>
  </si>
  <si>
    <t>1 - Ley Nº 3984/2010, Royalties y Compensaciones</t>
  </si>
  <si>
    <t>Contribuciones Especial Adicional al Impuesto Inmobiliario (Art. 166 inc a. Ley 3966/2010)</t>
  </si>
  <si>
    <t>Contribuciones Especial Adicional al Impuesto de Patente a los Rodados (Art. 166 inc b. Ley 3966/2010)</t>
  </si>
  <si>
    <t>Derecho de Explotación de  Linea de Transporte de Pasajeros del Municipio</t>
  </si>
  <si>
    <t>Tasas por Servicios de Inpección de Autovehículos</t>
  </si>
  <si>
    <t>033</t>
  </si>
  <si>
    <t>xxxxxx</t>
  </si>
  <si>
    <t>Provisión de Copias de Planos,  Informes Tecnicos, Planillas de Costos de Resistencia y Otros</t>
  </si>
  <si>
    <t>AMUAM</t>
  </si>
  <si>
    <t>Festejo día del niño</t>
  </si>
  <si>
    <t>Aporte a Clubes Deportivos</t>
  </si>
  <si>
    <t xml:space="preserve">Día de Reyes </t>
  </si>
  <si>
    <t>Impuesto a los Espectaculos Públicos y a los Juegos de Entretenimiento y de Azar</t>
  </si>
  <si>
    <t>Impuesto de Patente a la Profesión, Comercio e Industria</t>
  </si>
  <si>
    <t>Tasas por Servicios de Desinfección</t>
  </si>
  <si>
    <t>Otros Recursos Corrientes, Varios</t>
  </si>
  <si>
    <t>Contratación de Personal Técnico</t>
  </si>
  <si>
    <t>Obligado / Pagado</t>
  </si>
  <si>
    <t>CODIGO</t>
  </si>
  <si>
    <t>SALDO ANTERIOR</t>
  </si>
  <si>
    <t xml:space="preserve">MOVIMIENTOS DEL DEL MES </t>
  </si>
  <si>
    <t>SALDO ACUMULADO</t>
  </si>
  <si>
    <t>BALANCE</t>
  </si>
  <si>
    <t>GESTION ECONOMICA</t>
  </si>
  <si>
    <t>DEBITO</t>
  </si>
  <si>
    <t>CREDITO</t>
  </si>
  <si>
    <t>DEUDOR</t>
  </si>
  <si>
    <t>ACREEDOR</t>
  </si>
  <si>
    <t>ACTIVO</t>
  </si>
  <si>
    <t>PASIVO</t>
  </si>
  <si>
    <t>GASTOS</t>
  </si>
  <si>
    <t>INGRESOS</t>
  </si>
  <si>
    <t>2.00.00.000.0000</t>
  </si>
  <si>
    <t>2.10.00.000.0000</t>
  </si>
  <si>
    <t>ACTIVO CORRIENTE</t>
  </si>
  <si>
    <t>2.11.04.000.0000</t>
  </si>
  <si>
    <t>Bancos Moneda Nacional</t>
  </si>
  <si>
    <t>2.11.04.010.0000</t>
  </si>
  <si>
    <t>2.11.04.020.0000</t>
  </si>
  <si>
    <t>2.11.04.030.0000</t>
  </si>
  <si>
    <t>2.12.00.000.0000</t>
  </si>
  <si>
    <t>Cuentas por Cobrar - Deudores Presupuestarios</t>
  </si>
  <si>
    <t>2.12.11.000.0000</t>
  </si>
  <si>
    <t>2.12.11.200.0000</t>
  </si>
  <si>
    <t>2.12.11.200.1000</t>
  </si>
  <si>
    <t>2.20.00.000.0000</t>
  </si>
  <si>
    <t>ACTIVO NO CORRIENTE</t>
  </si>
  <si>
    <t>2.30.00.000.0000</t>
  </si>
  <si>
    <t>PERMANENTE</t>
  </si>
  <si>
    <t>2.32.00.000.0000</t>
  </si>
  <si>
    <t>Activo Fijo</t>
  </si>
  <si>
    <t>2.32.01.000.0000</t>
  </si>
  <si>
    <t>Activos de Uso Institucional</t>
  </si>
  <si>
    <t>2.32.01.010.0000</t>
  </si>
  <si>
    <t>Edificaciones</t>
  </si>
  <si>
    <t>2.32.01.020.0000</t>
  </si>
  <si>
    <t>Obras de Infraestructura</t>
  </si>
  <si>
    <t>2.32.01.030.0000</t>
  </si>
  <si>
    <t>Equipos de Transporte</t>
  </si>
  <si>
    <t>2.32.01.040.0000</t>
  </si>
  <si>
    <t>2.32.01.050.0000</t>
  </si>
  <si>
    <t>2.32.01.110.0000</t>
  </si>
  <si>
    <t>Equipos de Comunicación</t>
  </si>
  <si>
    <t>2.32.01.120.0000</t>
  </si>
  <si>
    <t>Muebles y Enseres</t>
  </si>
  <si>
    <t>2.32.01.140.0000</t>
  </si>
  <si>
    <t>Herramientas, Aparatos y Equipos varios</t>
  </si>
  <si>
    <t>2.32.01.170.0000</t>
  </si>
  <si>
    <t>Terrenos</t>
  </si>
  <si>
    <t>2.32.06.000.0000</t>
  </si>
  <si>
    <t>Depreciaciones Acumuladas</t>
  </si>
  <si>
    <t>2.32.06.010.0000</t>
  </si>
  <si>
    <t>Depreciaciones Acumuladas Activos de Uso Institucional</t>
  </si>
  <si>
    <t>4.00.00.000.0000</t>
  </si>
  <si>
    <t>4.15.00.000.0000</t>
  </si>
  <si>
    <t>Retenciones</t>
  </si>
  <si>
    <t>4.15.01.000.0000</t>
  </si>
  <si>
    <t>Por Contribución al Fondo de Junbilaciones y Pensiones</t>
  </si>
  <si>
    <t>4.15.01.010.0000</t>
  </si>
  <si>
    <t>Caja de Jubilaciones y Pensiones del Personal Municipal</t>
  </si>
  <si>
    <t>4.15.04.000.0000</t>
  </si>
  <si>
    <t>8.00.00.000.0000</t>
  </si>
  <si>
    <t>PATRIMONIO NETO</t>
  </si>
  <si>
    <t>8.10.00.000.0000</t>
  </si>
  <si>
    <t>Capital</t>
  </si>
  <si>
    <t>8.10.01.000.0000</t>
  </si>
  <si>
    <t>Patrimonio Municipal</t>
  </si>
  <si>
    <t>8.20.00.000.0000</t>
  </si>
  <si>
    <t>RESERVAS</t>
  </si>
  <si>
    <t>8.22.00.000.0000</t>
  </si>
  <si>
    <t>RESERVA DE REVALUO</t>
  </si>
  <si>
    <t>8.22.01.000.0000</t>
  </si>
  <si>
    <t>Reserva de Revaluo</t>
  </si>
  <si>
    <t>8.22.02.000.0000</t>
  </si>
  <si>
    <t>Revaluo Activo Fijo</t>
  </si>
  <si>
    <t>8.40.00.000.0000</t>
  </si>
  <si>
    <t>Resultados Acumulados</t>
  </si>
  <si>
    <t>8.41.01.000.0000</t>
  </si>
  <si>
    <t>Utilidades Acumuladas</t>
  </si>
  <si>
    <t>8.50.00.000.0000</t>
  </si>
  <si>
    <t>Resultados del Ejercicio</t>
  </si>
  <si>
    <t>8.51.00.000.0000</t>
  </si>
  <si>
    <t>Resultado del Ejercicio</t>
  </si>
  <si>
    <t>3.00.00.000.0000</t>
  </si>
  <si>
    <t>EGRESOS DE GESTION</t>
  </si>
  <si>
    <t>3.20.00.000.0000</t>
  </si>
  <si>
    <t>GASTOS OPERACIONALES</t>
  </si>
  <si>
    <t>3.21.00.000.0000</t>
  </si>
  <si>
    <t>Gastos de Administración</t>
  </si>
  <si>
    <t>3.21.01.000.0000</t>
  </si>
  <si>
    <t>Servicios Personales</t>
  </si>
  <si>
    <t>3.21.02.000.0000</t>
  </si>
  <si>
    <t>Servicios no Personales</t>
  </si>
  <si>
    <t>3.21.03.000.0000</t>
  </si>
  <si>
    <t>Bienes de Consumo e Insumos</t>
  </si>
  <si>
    <t>3.21.04.000.0000</t>
  </si>
  <si>
    <t>Transferencias</t>
  </si>
  <si>
    <t>3.21.05.000.0000</t>
  </si>
  <si>
    <t>Otros Gastos de Inversiones y Reparaciones Mayores</t>
  </si>
  <si>
    <t>3.30.00.000.0000</t>
  </si>
  <si>
    <t>Gastos Extraordinarios</t>
  </si>
  <si>
    <t>3.32.02.000.0000</t>
  </si>
  <si>
    <t>Gasto de Construcción de Obras de Uso Público</t>
  </si>
  <si>
    <t>3.32.03.000.0000</t>
  </si>
  <si>
    <t>Gasto de Construcción de Obras de Uso Privado</t>
  </si>
  <si>
    <t>3.32.09.000.0000</t>
  </si>
  <si>
    <t>3.32.10.000.0000</t>
  </si>
  <si>
    <t>Deudas pendientes de pago de gastos de capital</t>
  </si>
  <si>
    <t>5.00.00.000.0000</t>
  </si>
  <si>
    <t>5.10.00.000.0000</t>
  </si>
  <si>
    <t>5.11.00.000.0000</t>
  </si>
  <si>
    <t>Ingresos Tributarios</t>
  </si>
  <si>
    <t>5.13.00.000.0000</t>
  </si>
  <si>
    <t>Ingresos no Tributarios</t>
  </si>
  <si>
    <t>5.14.00.000.0000</t>
  </si>
  <si>
    <t>Ventas de Bienes y Servicios de la Administración Pública</t>
  </si>
  <si>
    <t>5.15.00.000.0000</t>
  </si>
  <si>
    <t>Transferencias Corrientes</t>
  </si>
  <si>
    <t>5.16.00.000.0000</t>
  </si>
  <si>
    <t>Renta de la Propiedad</t>
  </si>
  <si>
    <t>Donaciones Corrientes</t>
  </si>
  <si>
    <t>5.19.00.000.0000</t>
  </si>
  <si>
    <t>5.40.00.000.0000</t>
  </si>
  <si>
    <t>5.40.01.000.0000</t>
  </si>
  <si>
    <t>5.40.02.000.0000</t>
  </si>
  <si>
    <t>Transferencias de Capital</t>
  </si>
  <si>
    <t>5.40.03.000.0000</t>
  </si>
  <si>
    <t>Donaciones de Capital</t>
  </si>
  <si>
    <t>5.50.00.000.0000</t>
  </si>
  <si>
    <t>5.50.01.000.0000</t>
  </si>
  <si>
    <t>Saldo Inicial de Caja</t>
  </si>
  <si>
    <t>5.50.01.038.0000</t>
  </si>
  <si>
    <t>Endeudamiento Interno</t>
  </si>
  <si>
    <t>5.50.01.039.0000</t>
  </si>
  <si>
    <t>SUB TOTAL</t>
  </si>
  <si>
    <t>RESULTADO DEL EJERCICIO</t>
  </si>
  <si>
    <t>TOTAL</t>
  </si>
  <si>
    <t>2.32.01.060.0000</t>
  </si>
  <si>
    <t>Maquinarias y Equipos Agropecuarios</t>
  </si>
  <si>
    <t>2.32.01.070.0000</t>
  </si>
  <si>
    <t>Maquinarias y Equipos de Construcción</t>
  </si>
  <si>
    <t>2.32.01.090.0000</t>
  </si>
  <si>
    <t>Equipos de Salud y Laboratorio</t>
  </si>
  <si>
    <t>2.32.01.100.0000</t>
  </si>
  <si>
    <t>Equipos de Enseñanza y Recreación</t>
  </si>
  <si>
    <t>2.32.01.130.0000</t>
  </si>
  <si>
    <t>Equipos de Oficina y Computación</t>
  </si>
  <si>
    <t>Maquinarias y Equipos de Oficina</t>
  </si>
  <si>
    <t>Intendente Municipal</t>
  </si>
  <si>
    <t>EJECUCIÓN PRESUPUESTARIA DE RECURSOS - FONACIDE</t>
  </si>
  <si>
    <t>EJECUCIÓN PRESUPUESTARIA DE RECURSOS - ROYALTIES</t>
  </si>
  <si>
    <t>EJECUCIÓN PRESUPUESTARIA DE RECURSOS CONSOLIDADO</t>
  </si>
  <si>
    <t>Contador</t>
  </si>
  <si>
    <t>Aportes del Gobierno Central con FONACIDE 30%</t>
  </si>
  <si>
    <t>Aportes del Gobierno Central con FONACIDE 70%</t>
  </si>
  <si>
    <t>De Recursos FONACIDE</t>
  </si>
  <si>
    <t>Transferencias para Complemento Nutricional en  las Escuelas Públicas</t>
  </si>
  <si>
    <t>Transferencias y Subsidios a Entidades Educativas e Intituciones sin fines de Lucro</t>
  </si>
  <si>
    <t>Conservacion de calles y caminos vecinales</t>
  </si>
  <si>
    <t>De Recursos con Afectación Específica Corriente</t>
  </si>
  <si>
    <t>De Recursos con Afectación Específica Capital</t>
  </si>
  <si>
    <t>De Recursos Recursos Propios</t>
  </si>
  <si>
    <t>2 - Programas de Acción</t>
  </si>
  <si>
    <t>2 - Ley Nº  4758/2012, Fondo Nacional de Inversión Pública y Desarrollo (FONACIDE)</t>
  </si>
  <si>
    <t>1 - Apoyo al Sector Educativo</t>
  </si>
  <si>
    <t>EJECUCION PRESUPUESTARIA POR OBJETO DE GASTOS - FONACIDE</t>
  </si>
  <si>
    <t>Juntas Comunales y Vecinales</t>
  </si>
  <si>
    <t>Otras Entidades sin fines de Lucro</t>
  </si>
  <si>
    <t>BALANCE GENERAL</t>
  </si>
  <si>
    <t xml:space="preserve">           Anexo B-06-01</t>
  </si>
  <si>
    <t xml:space="preserve">           Anexo B-06-02</t>
  </si>
  <si>
    <t>ESTADO DE RESULTADO</t>
  </si>
  <si>
    <t>Mirna Orrego de Segovia</t>
  </si>
  <si>
    <t>Director de Administración y Finanzas</t>
  </si>
  <si>
    <t>Aportes a Entidades Educativas e instituciones sin fines de lucro</t>
  </si>
  <si>
    <t>Transferencias a Organizaciones Municipales</t>
  </si>
  <si>
    <t>Tasa por Servicio de  prevención y protección contra Riesgo de  de Incendio, Derrumbes y otros</t>
  </si>
  <si>
    <t>Chapas Numerativas  de Inmuebles</t>
  </si>
  <si>
    <t>Ocupación precaria de bienes de dominio público</t>
  </si>
  <si>
    <t>Arrendamiento de Inmuebles y Predios Municipales</t>
  </si>
  <si>
    <t>235 MUNICIPALIDAD DE CARMELO PERALTA</t>
  </si>
  <si>
    <t>Otras transferencias corrientes Opaci</t>
  </si>
  <si>
    <t xml:space="preserve">Otras transferencias corrientes </t>
  </si>
  <si>
    <t>Domingo Duarte</t>
  </si>
  <si>
    <t>Domingo Duarte Riveros</t>
  </si>
  <si>
    <t>2.11.04.040.0000</t>
  </si>
  <si>
    <t>Programas de Computacion</t>
  </si>
  <si>
    <t xml:space="preserve">                                   </t>
  </si>
  <si>
    <t/>
  </si>
  <si>
    <t>julio</t>
  </si>
  <si>
    <t>agosto</t>
  </si>
  <si>
    <t>Intendenta Municipal</t>
  </si>
  <si>
    <t>Lic. José Felix Escobar Benítez</t>
  </si>
  <si>
    <t>Lic. José Felix EscobarBenítez</t>
  </si>
  <si>
    <t>Lic. José Félix EscobarBenitez</t>
  </si>
  <si>
    <t>Servicios de Capacitación y Adiestram.</t>
  </si>
  <si>
    <t xml:space="preserve">Otras entidades sin fines de lucro </t>
  </si>
  <si>
    <t xml:space="preserve">Remuneración Extraordinaria </t>
  </si>
  <si>
    <t xml:space="preserve">Contratación de Personal de Salud </t>
  </si>
  <si>
    <t>CORRESPONDIENTE AL SEGUNDO CUATRIMESTRE DE 2016</t>
  </si>
  <si>
    <t>Correspondiente al Segundo cuatrimestre del Ejercicio 2016</t>
  </si>
  <si>
    <t xml:space="preserve">Remuneraciones Temporales </t>
  </si>
  <si>
    <t xml:space="preserve">Remuneración Adicional </t>
  </si>
  <si>
    <t xml:space="preserve">Contratación de Personal Técnico </t>
  </si>
  <si>
    <t xml:space="preserve">Aportes a Entidades Educativas e Inst. </t>
  </si>
  <si>
    <t xml:space="preserve">Aporte a Clubes Deportivos </t>
  </si>
  <si>
    <t xml:space="preserve">Dia de Reyes </t>
  </si>
  <si>
    <t>Juntas Comunales y/o Comisiones</t>
  </si>
  <si>
    <t xml:space="preserve">Adquisición de Equipos de Oficina </t>
  </si>
  <si>
    <t xml:space="preserve">Adquisición de Activos Intangibles </t>
  </si>
  <si>
    <t xml:space="preserve">Otros Gastos de Inversiones </t>
  </si>
  <si>
    <t>Amortización de la Deuda Pública</t>
  </si>
  <si>
    <t xml:space="preserve">Gastos Imprevistos </t>
  </si>
  <si>
    <t xml:space="preserve">Gastos imprevistos varios </t>
  </si>
  <si>
    <t xml:space="preserve">Otras transferencias de capital </t>
  </si>
  <si>
    <t xml:space="preserve">agosto </t>
  </si>
  <si>
    <t>Mirna Orrego</t>
  </si>
  <si>
    <t xml:space="preserve">Mirna Orrego </t>
  </si>
  <si>
    <t>Productos e Instrumentales Químicos</t>
  </si>
  <si>
    <t xml:space="preserve">Productos e Instrumentales Químicos </t>
  </si>
  <si>
    <t>anulado</t>
  </si>
  <si>
    <t>CORRESPONDIENTE AL PRIMER SEMESTRE DEL 2016</t>
  </si>
  <si>
    <t>E</t>
  </si>
  <si>
    <t>Total Acumulado Primer Semestre</t>
  </si>
  <si>
    <t>Total Acumulado Cuatrimestral</t>
  </si>
  <si>
    <t>Acumulado Cuatrimestre Vencido</t>
  </si>
  <si>
    <t>Enero</t>
  </si>
  <si>
    <t>Febrero</t>
  </si>
  <si>
    <t>Marzo</t>
  </si>
  <si>
    <t xml:space="preserve">Abril </t>
  </si>
  <si>
    <t>Mayo</t>
  </si>
  <si>
    <t>Junio</t>
  </si>
  <si>
    <t xml:space="preserve">Servicios Técnicos y Profesionales </t>
  </si>
  <si>
    <t xml:space="preserve">Lic. José Felix Escobar </t>
  </si>
  <si>
    <t>Julio</t>
  </si>
  <si>
    <t>Agosto</t>
  </si>
  <si>
    <t>ROYALTIES INGRESO</t>
  </si>
  <si>
    <t>JULIO</t>
  </si>
  <si>
    <t>AGOSTO</t>
  </si>
  <si>
    <t>FONACIDE INGRESO</t>
  </si>
  <si>
    <t>Total Primer Cuatrimestre</t>
  </si>
  <si>
    <t>Total Pimer Cuatrimestre</t>
  </si>
  <si>
    <t>CORRESPONDIENTE AL SEGUNDO CUATRIMESTRE DEL 2016</t>
  </si>
  <si>
    <t>pat comercial</t>
  </si>
  <si>
    <t>publicidad</t>
  </si>
  <si>
    <t>papel sellado</t>
  </si>
  <si>
    <t>multa</t>
  </si>
  <si>
    <t>salubridad</t>
  </si>
  <si>
    <t>insp. Instalac</t>
  </si>
  <si>
    <t>serv. Tecnico</t>
  </si>
  <si>
    <t>faenamiento</t>
  </si>
  <si>
    <t>caja jubilaciones</t>
  </si>
  <si>
    <t>ap personal</t>
  </si>
  <si>
    <t>ap patronal</t>
  </si>
  <si>
    <t>inmobiario</t>
  </si>
  <si>
    <t>adicional inm</t>
  </si>
  <si>
    <t>retencion</t>
  </si>
  <si>
    <t>retenc</t>
  </si>
  <si>
    <t>conserv</t>
  </si>
  <si>
    <t>contribuc adic</t>
  </si>
  <si>
    <t>imp.registro</t>
  </si>
  <si>
    <t>tasa x tablada</t>
  </si>
  <si>
    <t>uso de tabada</t>
  </si>
  <si>
    <t>Director UAF</t>
  </si>
  <si>
    <t>Banco BNF Cta. Cte. Administrativa Nº   820445-6</t>
  </si>
  <si>
    <t>Banco BNF Cta. Cte. Royalties Nº 820446-7</t>
  </si>
  <si>
    <t>Banco BNF Cta. Cte. FONACIDE Nº 820828-1</t>
  </si>
  <si>
    <t>Banco BNF Cta. Cte. Pavimentacion Nº 820828-2</t>
  </si>
</sst>
</file>

<file path=xl/styles.xml><?xml version="1.0" encoding="utf-8"?>
<styleSheet xmlns="http://schemas.openxmlformats.org/spreadsheetml/2006/main">
  <numFmts count="48">
    <numFmt numFmtId="5" formatCode="&quot;₲&quot;\ #,##0_);\(&quot;₲&quot;\ #,##0\)"/>
    <numFmt numFmtId="6" formatCode="&quot;₲&quot;\ #,##0_);[Red]\(&quot;₲&quot;\ #,##0\)"/>
    <numFmt numFmtId="7" formatCode="&quot;₲&quot;\ #,##0.00_);\(&quot;₲&quot;\ #,##0.00\)"/>
    <numFmt numFmtId="8" formatCode="&quot;₲&quot;\ #,##0.00_);[Red]\(&quot;₲&quot;\ #,##0.00\)"/>
    <numFmt numFmtId="42" formatCode="_(&quot;₲&quot;\ * #,##0_);_(&quot;₲&quot;\ * \(#,##0\);_(&quot;₲&quot;\ * &quot;-&quot;_);_(@_)"/>
    <numFmt numFmtId="41" formatCode="_(* #,##0_);_(* \(#,##0\);_(* &quot;-&quot;_);_(@_)"/>
    <numFmt numFmtId="44" formatCode="_(&quot;₲&quot;\ * #,##0.00_);_(&quot;₲&quot;\ * \(#,##0.00\);_(&quot;₲&quot;\ * &quot;-&quot;??_);_(@_)"/>
    <numFmt numFmtId="43" formatCode="_(* #,##0.00_);_(* \(#,##0.00\);_(* &quot;-&quot;??_);_(@_)"/>
    <numFmt numFmtId="164" formatCode="&quot;₲&quot;\ #,##0;&quot;₲&quot;\ \-#,##0"/>
    <numFmt numFmtId="165" formatCode="&quot;₲&quot;\ #,##0;[Red]&quot;₲&quot;\ \-#,##0"/>
    <numFmt numFmtId="166" formatCode="&quot;₲&quot;\ #,##0.00;&quot;₲&quot;\ \-#,##0.00"/>
    <numFmt numFmtId="167" formatCode="&quot;₲&quot;\ #,##0.00;[Red]&quot;₲&quot;\ \-#,##0.00"/>
    <numFmt numFmtId="168" formatCode="_ &quot;₲&quot;\ * #,##0_ ;_ &quot;₲&quot;\ * \-#,##0_ ;_ &quot;₲&quot;\ * &quot;-&quot;_ ;_ @_ "/>
    <numFmt numFmtId="169" formatCode="_ * #,##0_ ;_ * \-#,##0_ ;_ * &quot;-&quot;_ ;_ @_ "/>
    <numFmt numFmtId="170" formatCode="_ &quot;₲&quot;\ * #,##0.00_ ;_ &quot;₲&quot;\ * \-#,##0.00_ ;_ &quot;₲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Gs&quot;\ #,##0_);\(&quot;Gs&quot;\ #,##0\)"/>
    <numFmt numFmtId="181" formatCode="&quot;Gs&quot;\ #,##0_);[Red]\(&quot;Gs&quot;\ #,##0\)"/>
    <numFmt numFmtId="182" formatCode="&quot;Gs&quot;\ #,##0.00_);\(&quot;Gs&quot;\ #,##0.00\)"/>
    <numFmt numFmtId="183" formatCode="&quot;Gs&quot;\ #,##0.00_);[Red]\(&quot;Gs&quot;\ #,##0.00\)"/>
    <numFmt numFmtId="184" formatCode="_(&quot;Gs&quot;\ * #,##0_);_(&quot;Gs&quot;\ * \(#,##0\);_(&quot;Gs&quot;\ * &quot;-&quot;_);_(@_)"/>
    <numFmt numFmtId="185" formatCode="_(&quot;Gs&quot;\ * #,##0.00_);_(&quot;Gs&quot;\ * \(#,##0.00\);_(&quot;Gs&quot;\ * &quot;-&quot;??_);_(@_)"/>
    <numFmt numFmtId="186" formatCode="#,##0;[Red]#,##0"/>
    <numFmt numFmtId="187" formatCode="#,##0_ ;[Red]\-#,##0\ "/>
    <numFmt numFmtId="188" formatCode="dd\-mm\-yy"/>
    <numFmt numFmtId="189" formatCode="_-* #,##0.00\ [$€]_-;\-* #,##0.00\ [$€]_-;_-* &quot;-&quot;??\ [$€]_-;_-@_-"/>
    <numFmt numFmtId="190" formatCode="mmmm"/>
    <numFmt numFmtId="191" formatCode="&quot;Mes de&quot;\ mmmm"/>
    <numFmt numFmtId="192" formatCode="mmmm\ &quot;de&quot;\ yyyy"/>
    <numFmt numFmtId="193" formatCode="#,##0.00_ ;\-#,##0.00\ "/>
    <numFmt numFmtId="194" formatCode="_-* #,##0.00_-;\-* #,##0.00_-;_-* &quot;-&quot;??_-;_-@_-"/>
    <numFmt numFmtId="195" formatCode="&quot;Correspondiente desde el 01 de enero hasta el&quot;\ dd\ &quot;de&quot;\ mmmm\ &quot;de&quot;\ yyyy"/>
    <numFmt numFmtId="196" formatCode="_ * #,##0.0_ ;_ * \-#,##0.0_ ;_ * &quot;-&quot;??_ ;_ @_ "/>
    <numFmt numFmtId="197" formatCode="_ * #,##0_ ;_ * \-#,##0_ ;_ * &quot;-&quot;??_ ;_ @_ "/>
    <numFmt numFmtId="198" formatCode="0.00_);\(0.00\)"/>
    <numFmt numFmtId="199" formatCode="0.0"/>
    <numFmt numFmtId="200" formatCode="0.00_ ;\-0.00\ "/>
    <numFmt numFmtId="201" formatCode="0.0_ ;\-0.0\ "/>
    <numFmt numFmtId="202" formatCode="0_ ;\-0\ "/>
    <numFmt numFmtId="203" formatCode="#,##0_ ;\-#,##0\ "/>
  </numFmts>
  <fonts count="127">
    <font>
      <sz val="10"/>
      <name val="Arial"/>
      <family val="0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u val="single"/>
      <sz val="10"/>
      <name val="Book Antiqua"/>
      <family val="1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sz val="8"/>
      <name val="Book Antiqua"/>
      <family val="1"/>
    </font>
    <font>
      <b/>
      <sz val="1"/>
      <name val="Arial"/>
      <family val="2"/>
    </font>
    <font>
      <sz val="1"/>
      <name val="Book Antiqua"/>
      <family val="1"/>
    </font>
    <font>
      <sz val="1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1"/>
      <name val="Book Antiqua"/>
      <family val="1"/>
    </font>
    <font>
      <b/>
      <u val="single"/>
      <sz val="11"/>
      <name val="Arial"/>
      <family val="2"/>
    </font>
    <font>
      <b/>
      <sz val="14"/>
      <name val="Times New Roman"/>
      <family val="1"/>
    </font>
    <font>
      <sz val="2"/>
      <name val="Arial"/>
      <family val="2"/>
    </font>
    <font>
      <b/>
      <sz val="2"/>
      <name val="Book Antiqua"/>
      <family val="1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9"/>
      <name val="Agency FB"/>
      <family val="2"/>
    </font>
    <font>
      <sz val="11"/>
      <name val="Arial Narrow"/>
      <family val="2"/>
    </font>
    <font>
      <sz val="15"/>
      <name val="Arial"/>
      <family val="2"/>
    </font>
    <font>
      <b/>
      <u val="single"/>
      <sz val="6"/>
      <name val="Book Antiqua"/>
      <family val="1"/>
    </font>
    <font>
      <sz val="10"/>
      <color indexed="13"/>
      <name val="Arial Narrow"/>
      <family val="2"/>
    </font>
    <font>
      <b/>
      <u val="single"/>
      <sz val="10"/>
      <color indexed="13"/>
      <name val="Book Antiqua"/>
      <family val="1"/>
    </font>
    <font>
      <b/>
      <sz val="28"/>
      <name val="Times New Roman"/>
      <family val="1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20"/>
      <name val="Arial"/>
      <family val="2"/>
    </font>
    <font>
      <sz val="7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8"/>
      <name val="Arial"/>
      <family val="2"/>
    </font>
    <font>
      <b/>
      <sz val="20"/>
      <name val="Times New Roman"/>
      <family val="1"/>
    </font>
    <font>
      <b/>
      <sz val="14"/>
      <color indexed="9"/>
      <name val="Book Antiqua"/>
      <family val="1"/>
    </font>
    <font>
      <sz val="20"/>
      <color indexed="17"/>
      <name val="Arial"/>
      <family val="2"/>
    </font>
    <font>
      <b/>
      <sz val="20"/>
      <name val="Book Antiqua"/>
      <family val="1"/>
    </font>
    <font>
      <sz val="14"/>
      <name val="Book Antiqua"/>
      <family val="1"/>
    </font>
    <font>
      <i/>
      <sz val="12"/>
      <name val="Book Antiqua"/>
      <family val="1"/>
    </font>
    <font>
      <b/>
      <u val="single"/>
      <sz val="14"/>
      <name val="Arial"/>
      <family val="2"/>
    </font>
    <font>
      <sz val="11"/>
      <name val="Book Antiqua"/>
      <family val="1"/>
    </font>
    <font>
      <b/>
      <sz val="9"/>
      <name val="Times New Roman"/>
      <family val="1"/>
    </font>
    <font>
      <sz val="9"/>
      <color indexed="17"/>
      <name val="Arial"/>
      <family val="2"/>
    </font>
    <font>
      <sz val="9"/>
      <name val="Arial Narrow"/>
      <family val="2"/>
    </font>
    <font>
      <i/>
      <sz val="9"/>
      <name val="Book Antiqua"/>
      <family val="1"/>
    </font>
    <font>
      <b/>
      <i/>
      <sz val="12"/>
      <name val="Book Antiqua"/>
      <family val="1"/>
    </font>
    <font>
      <b/>
      <sz val="15"/>
      <name val="Arial"/>
      <family val="2"/>
    </font>
    <font>
      <b/>
      <sz val="9"/>
      <name val="Agency FB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b/>
      <sz val="11"/>
      <color indexed="57"/>
      <name val="Calibri"/>
      <family val="2"/>
    </font>
    <font>
      <sz val="11"/>
      <color indexed="60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vertAlign val="superscript"/>
      <sz val="8"/>
      <color indexed="9"/>
      <name val="Arial"/>
      <family val="2"/>
    </font>
    <font>
      <sz val="10"/>
      <color indexed="9"/>
      <name val="Arial"/>
      <family val="2"/>
    </font>
    <font>
      <vertAlign val="superscript"/>
      <sz val="9"/>
      <color indexed="9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rgb="FFFF000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vertAlign val="superscript"/>
      <sz val="8"/>
      <color theme="0"/>
      <name val="Arial"/>
      <family val="2"/>
    </font>
    <font>
      <sz val="10"/>
      <color theme="0"/>
      <name val="Arial"/>
      <family val="2"/>
    </font>
    <font>
      <vertAlign val="superscript"/>
      <sz val="9"/>
      <color theme="0"/>
      <name val="Arial"/>
      <family val="2"/>
    </font>
    <font>
      <b/>
      <sz val="10"/>
      <color theme="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103" fillId="30" borderId="0" applyNumberFormat="0" applyBorder="0" applyAlignment="0" applyProtection="0"/>
    <xf numFmtId="0" fontId="103" fillId="31" borderId="0" applyNumberFormat="0" applyBorder="0" applyAlignment="0" applyProtection="0"/>
    <xf numFmtId="0" fontId="103" fillId="32" borderId="0" applyNumberFormat="0" applyBorder="0" applyAlignment="0" applyProtection="0"/>
    <xf numFmtId="0" fontId="103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37" borderId="0" applyNumberFormat="0" applyBorder="0" applyAlignment="0" applyProtection="0"/>
    <xf numFmtId="0" fontId="19" fillId="3" borderId="0" applyNumberFormat="0" applyBorder="0" applyAlignment="0" applyProtection="0"/>
    <xf numFmtId="0" fontId="104" fillId="38" borderId="0" applyNumberFormat="0" applyBorder="0" applyAlignment="0" applyProtection="0"/>
    <xf numFmtId="0" fontId="22" fillId="39" borderId="1" applyNumberFormat="0" applyAlignment="0" applyProtection="0"/>
    <xf numFmtId="0" fontId="105" fillId="40" borderId="2" applyNumberFormat="0" applyAlignment="0" applyProtection="0"/>
    <xf numFmtId="0" fontId="106" fillId="41" borderId="3" applyNumberFormat="0" applyAlignment="0" applyProtection="0"/>
    <xf numFmtId="0" fontId="107" fillId="0" borderId="4" applyNumberFormat="0" applyFill="0" applyAlignment="0" applyProtection="0"/>
    <xf numFmtId="0" fontId="24" fillId="42" borderId="5" applyNumberFormat="0" applyAlignment="0" applyProtection="0"/>
    <xf numFmtId="0" fontId="108" fillId="0" borderId="0" applyNumberFormat="0" applyFill="0" applyBorder="0" applyAlignment="0" applyProtection="0"/>
    <xf numFmtId="0" fontId="103" fillId="43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9" fillId="49" borderId="2" applyNumberFormat="0" applyAlignment="0" applyProtection="0"/>
    <xf numFmtId="18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10" fillId="50" borderId="0" applyNumberFormat="0" applyBorder="0" applyAlignment="0" applyProtection="0"/>
    <xf numFmtId="0" fontId="20" fillId="7" borderId="1" applyNumberFormat="0" applyAlignment="0" applyProtection="0"/>
    <xf numFmtId="0" fontId="23" fillId="0" borderId="9" applyNumberFormat="0" applyFill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1" fillId="51" borderId="0" applyNumberFormat="0" applyBorder="0" applyAlignment="0" applyProtection="0"/>
    <xf numFmtId="0" fontId="0" fillId="0" borderId="0">
      <alignment/>
      <protection/>
    </xf>
    <xf numFmtId="0" fontId="0" fillId="52" borderId="10" applyNumberFormat="0" applyFont="0" applyAlignment="0" applyProtection="0"/>
    <xf numFmtId="0" fontId="1" fillId="53" borderId="11" applyNumberFormat="0" applyFont="0" applyAlignment="0" applyProtection="0"/>
    <xf numFmtId="0" fontId="21" fillId="39" borderId="12" applyNumberFormat="0" applyAlignment="0" applyProtection="0"/>
    <xf numFmtId="9" fontId="0" fillId="0" borderId="0" applyFont="0" applyFill="0" applyBorder="0" applyAlignment="0" applyProtection="0"/>
    <xf numFmtId="0" fontId="112" fillId="40" borderId="13" applyNumberFormat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14" applyNumberFormat="0" applyFill="0" applyAlignment="0" applyProtection="0"/>
    <xf numFmtId="0" fontId="117" fillId="0" borderId="15" applyNumberFormat="0" applyFill="0" applyAlignment="0" applyProtection="0"/>
    <xf numFmtId="0" fontId="108" fillId="0" borderId="16" applyNumberFormat="0" applyFill="0" applyAlignment="0" applyProtection="0"/>
    <xf numFmtId="0" fontId="118" fillId="0" borderId="17" applyNumberFormat="0" applyFill="0" applyAlignment="0" applyProtection="0"/>
    <xf numFmtId="0" fontId="25" fillId="0" borderId="0" applyNumberFormat="0" applyFill="0" applyBorder="0" applyAlignment="0" applyProtection="0"/>
  </cellStyleXfs>
  <cellXfs count="605">
    <xf numFmtId="0" fontId="0" fillId="0" borderId="0" xfId="0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vertical="center"/>
    </xf>
    <xf numFmtId="186" fontId="4" fillId="0" borderId="18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187" fontId="4" fillId="0" borderId="18" xfId="0" applyNumberFormat="1" applyFont="1" applyFill="1" applyBorder="1" applyAlignment="1">
      <alignment vertical="center"/>
    </xf>
    <xf numFmtId="187" fontId="3" fillId="0" borderId="18" xfId="0" applyNumberFormat="1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8" xfId="0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186" fontId="3" fillId="0" borderId="18" xfId="0" applyNumberFormat="1" applyFont="1" applyFill="1" applyBorder="1" applyAlignment="1">
      <alignment vertical="center"/>
    </xf>
    <xf numFmtId="49" fontId="31" fillId="0" borderId="18" xfId="0" applyNumberFormat="1" applyFont="1" applyFill="1" applyBorder="1" applyAlignment="1">
      <alignment horizontal="center" vertical="center"/>
    </xf>
    <xf numFmtId="49" fontId="33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left" vertical="center"/>
    </xf>
    <xf numFmtId="186" fontId="33" fillId="0" borderId="18" xfId="0" applyNumberFormat="1" applyFont="1" applyFill="1" applyBorder="1" applyAlignment="1">
      <alignment vertical="center"/>
    </xf>
    <xf numFmtId="186" fontId="31" fillId="0" borderId="18" xfId="0" applyNumberFormat="1" applyFont="1" applyFill="1" applyBorder="1" applyAlignment="1">
      <alignment vertical="center"/>
    </xf>
    <xf numFmtId="3" fontId="33" fillId="0" borderId="18" xfId="0" applyNumberFormat="1" applyFont="1" applyFill="1" applyBorder="1" applyAlignment="1">
      <alignment vertical="center"/>
    </xf>
    <xf numFmtId="187" fontId="31" fillId="0" borderId="18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186" fontId="3" fillId="0" borderId="18" xfId="0" applyNumberFormat="1" applyFont="1" applyFill="1" applyBorder="1" applyAlignment="1">
      <alignment vertical="center" wrapText="1"/>
    </xf>
    <xf numFmtId="186" fontId="4" fillId="0" borderId="18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/>
    </xf>
    <xf numFmtId="187" fontId="33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186" fontId="6" fillId="0" borderId="18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187" fontId="6" fillId="0" borderId="18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190" fontId="45" fillId="0" borderId="19" xfId="0" applyNumberFormat="1" applyFont="1" applyFill="1" applyBorder="1" applyAlignment="1">
      <alignment horizontal="center" vertical="center" wrapText="1"/>
    </xf>
    <xf numFmtId="190" fontId="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49" fontId="48" fillId="0" borderId="18" xfId="0" applyNumberFormat="1" applyFont="1" applyFill="1" applyBorder="1" applyAlignment="1">
      <alignment horizontal="center" vertical="center" wrapText="1" shrinkToFit="1"/>
    </xf>
    <xf numFmtId="0" fontId="7" fillId="0" borderId="18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90" fontId="0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left" vertical="center"/>
    </xf>
    <xf numFmtId="186" fontId="7" fillId="0" borderId="18" xfId="0" applyNumberFormat="1" applyFont="1" applyFill="1" applyBorder="1" applyAlignment="1">
      <alignment vertical="center"/>
    </xf>
    <xf numFmtId="187" fontId="7" fillId="0" borderId="18" xfId="0" applyNumberFormat="1" applyFont="1" applyFill="1" applyBorder="1" applyAlignment="1">
      <alignment vertical="center"/>
    </xf>
    <xf numFmtId="190" fontId="45" fillId="0" borderId="18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8" fillId="0" borderId="18" xfId="0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0" fillId="0" borderId="21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33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6" fillId="0" borderId="25" xfId="0" applyFont="1" applyFill="1" applyBorder="1" applyAlignment="1">
      <alignment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/>
    </xf>
    <xf numFmtId="0" fontId="45" fillId="0" borderId="26" xfId="0" applyFont="1" applyFill="1" applyBorder="1" applyAlignment="1">
      <alignment/>
    </xf>
    <xf numFmtId="0" fontId="45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justify" vertical="center" wrapText="1"/>
    </xf>
    <xf numFmtId="3" fontId="3" fillId="0" borderId="18" xfId="0" applyNumberFormat="1" applyFont="1" applyFill="1" applyBorder="1" applyAlignment="1">
      <alignment vertical="center" wrapText="1"/>
    </xf>
    <xf numFmtId="3" fontId="4" fillId="0" borderId="18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justify"/>
    </xf>
    <xf numFmtId="3" fontId="3" fillId="0" borderId="18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justify" vertical="center"/>
    </xf>
    <xf numFmtId="0" fontId="4" fillId="0" borderId="18" xfId="0" applyFont="1" applyFill="1" applyBorder="1" applyAlignment="1">
      <alignment horizontal="justify" vertical="center" wrapText="1"/>
    </xf>
    <xf numFmtId="0" fontId="4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1" fillId="0" borderId="18" xfId="0" applyFont="1" applyFill="1" applyBorder="1" applyAlignment="1">
      <alignment vertical="center"/>
    </xf>
    <xf numFmtId="0" fontId="31" fillId="0" borderId="18" xfId="0" applyFont="1" applyFill="1" applyBorder="1" applyAlignment="1">
      <alignment horizontal="center" vertical="center"/>
    </xf>
    <xf numFmtId="3" fontId="31" fillId="0" borderId="18" xfId="0" applyNumberFormat="1" applyFont="1" applyFill="1" applyBorder="1" applyAlignment="1">
      <alignment vertical="center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left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0" fontId="4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2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187" fontId="47" fillId="0" borderId="0" xfId="0" applyNumberFormat="1" applyFont="1" applyFill="1" applyBorder="1" applyAlignment="1">
      <alignment/>
    </xf>
    <xf numFmtId="187" fontId="47" fillId="0" borderId="26" xfId="0" applyNumberFormat="1" applyFont="1" applyFill="1" applyBorder="1" applyAlignment="1">
      <alignment/>
    </xf>
    <xf numFmtId="0" fontId="5" fillId="0" borderId="28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vertical="center" wrapText="1"/>
    </xf>
    <xf numFmtId="0" fontId="33" fillId="0" borderId="18" xfId="0" applyFont="1" applyFill="1" applyBorder="1" applyAlignment="1">
      <alignment vertical="center" wrapText="1"/>
    </xf>
    <xf numFmtId="187" fontId="4" fillId="0" borderId="18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justify" wrapText="1"/>
    </xf>
    <xf numFmtId="0" fontId="31" fillId="0" borderId="18" xfId="0" applyFont="1" applyFill="1" applyBorder="1" applyAlignment="1">
      <alignment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Alignment="1">
      <alignment/>
    </xf>
    <xf numFmtId="0" fontId="54" fillId="0" borderId="0" xfId="0" applyFont="1" applyFill="1" applyAlignment="1">
      <alignment vertical="center"/>
    </xf>
    <xf numFmtId="0" fontId="42" fillId="0" borderId="0" xfId="0" applyFont="1" applyFill="1" applyBorder="1" applyAlignment="1">
      <alignment vertical="center"/>
    </xf>
    <xf numFmtId="187" fontId="45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34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/>
    </xf>
    <xf numFmtId="0" fontId="12" fillId="0" borderId="26" xfId="0" applyFont="1" applyFill="1" applyBorder="1" applyAlignment="1">
      <alignment/>
    </xf>
    <xf numFmtId="0" fontId="43" fillId="0" borderId="0" xfId="0" applyFont="1" applyFill="1" applyAlignment="1">
      <alignment vertical="center"/>
    </xf>
    <xf numFmtId="0" fontId="44" fillId="0" borderId="27" xfId="0" applyFont="1" applyFill="1" applyBorder="1" applyAlignment="1">
      <alignment vertical="center"/>
    </xf>
    <xf numFmtId="0" fontId="44" fillId="0" borderId="21" xfId="0" applyFont="1" applyFill="1" applyBorder="1" applyAlignment="1">
      <alignment vertical="center"/>
    </xf>
    <xf numFmtId="0" fontId="44" fillId="0" borderId="21" xfId="0" applyFont="1" applyFill="1" applyBorder="1" applyAlignment="1">
      <alignment horizontal="left" vertical="center"/>
    </xf>
    <xf numFmtId="0" fontId="43" fillId="0" borderId="29" xfId="0" applyFont="1" applyFill="1" applyBorder="1" applyAlignment="1">
      <alignment vertical="center"/>
    </xf>
    <xf numFmtId="0" fontId="28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2" fillId="0" borderId="25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2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vertical="center"/>
    </xf>
    <xf numFmtId="3" fontId="4" fillId="0" borderId="30" xfId="0" applyNumberFormat="1" applyFont="1" applyBorder="1" applyAlignment="1">
      <alignment horizontal="right" vertical="center"/>
    </xf>
    <xf numFmtId="3" fontId="55" fillId="0" borderId="30" xfId="0" applyNumberFormat="1" applyFont="1" applyBorder="1" applyAlignment="1">
      <alignment/>
    </xf>
    <xf numFmtId="0" fontId="0" fillId="0" borderId="0" xfId="0" applyBorder="1" applyAlignment="1">
      <alignment/>
    </xf>
    <xf numFmtId="0" fontId="56" fillId="0" borderId="31" xfId="0" applyFont="1" applyBorder="1" applyAlignment="1">
      <alignment/>
    </xf>
    <xf numFmtId="3" fontId="57" fillId="0" borderId="31" xfId="0" applyNumberFormat="1" applyFont="1" applyBorder="1" applyAlignment="1">
      <alignment horizontal="right"/>
    </xf>
    <xf numFmtId="3" fontId="55" fillId="0" borderId="30" xfId="0" applyNumberFormat="1" applyFont="1" applyBorder="1" applyAlignment="1">
      <alignment horizontal="right"/>
    </xf>
    <xf numFmtId="0" fontId="55" fillId="0" borderId="30" xfId="0" applyFont="1" applyBorder="1" applyAlignment="1">
      <alignment/>
    </xf>
    <xf numFmtId="186" fontId="4" fillId="0" borderId="30" xfId="0" applyNumberFormat="1" applyFont="1" applyFill="1" applyBorder="1" applyAlignment="1">
      <alignment vertical="center"/>
    </xf>
    <xf numFmtId="186" fontId="3" fillId="0" borderId="30" xfId="0" applyNumberFormat="1" applyFont="1" applyFill="1" applyBorder="1" applyAlignment="1">
      <alignment vertical="center"/>
    </xf>
    <xf numFmtId="0" fontId="55" fillId="0" borderId="32" xfId="0" applyFont="1" applyBorder="1" applyAlignment="1">
      <alignment/>
    </xf>
    <xf numFmtId="0" fontId="4" fillId="0" borderId="30" xfId="0" applyFont="1" applyFill="1" applyBorder="1" applyAlignment="1">
      <alignment horizontal="left" vertical="center" wrapText="1"/>
    </xf>
    <xf numFmtId="3" fontId="4" fillId="0" borderId="30" xfId="0" applyNumberFormat="1" applyFont="1" applyFill="1" applyBorder="1" applyAlignment="1">
      <alignment vertical="center"/>
    </xf>
    <xf numFmtId="3" fontId="57" fillId="0" borderId="30" xfId="0" applyNumberFormat="1" applyFont="1" applyBorder="1" applyAlignment="1">
      <alignment horizontal="right"/>
    </xf>
    <xf numFmtId="3" fontId="55" fillId="0" borderId="30" xfId="0" applyNumberFormat="1" applyFont="1" applyBorder="1" applyAlignment="1" quotePrefix="1">
      <alignment horizontal="right"/>
    </xf>
    <xf numFmtId="0" fontId="55" fillId="0" borderId="30" xfId="0" applyFont="1" applyBorder="1" applyAlignment="1">
      <alignment horizontal="left"/>
    </xf>
    <xf numFmtId="0" fontId="55" fillId="0" borderId="33" xfId="0" applyFont="1" applyBorder="1" applyAlignment="1">
      <alignment/>
    </xf>
    <xf numFmtId="0" fontId="56" fillId="0" borderId="33" xfId="0" applyFont="1" applyBorder="1" applyAlignment="1">
      <alignment/>
    </xf>
    <xf numFmtId="3" fontId="55" fillId="0" borderId="33" xfId="0" applyNumberFormat="1" applyFont="1" applyBorder="1" applyAlignment="1">
      <alignment/>
    </xf>
    <xf numFmtId="3" fontId="57" fillId="0" borderId="30" xfId="0" applyNumberFormat="1" applyFont="1" applyBorder="1" applyAlignment="1" quotePrefix="1">
      <alignment horizontal="right"/>
    </xf>
    <xf numFmtId="3" fontId="55" fillId="0" borderId="32" xfId="0" applyNumberFormat="1" applyFont="1" applyBorder="1" applyAlignment="1">
      <alignment horizontal="right"/>
    </xf>
    <xf numFmtId="3" fontId="55" fillId="0" borderId="32" xfId="0" applyNumberFormat="1" applyFont="1" applyBorder="1" applyAlignment="1">
      <alignment/>
    </xf>
    <xf numFmtId="3" fontId="57" fillId="0" borderId="33" xfId="0" applyNumberFormat="1" applyFont="1" applyBorder="1" applyAlignment="1">
      <alignment horizontal="right"/>
    </xf>
    <xf numFmtId="0" fontId="56" fillId="0" borderId="34" xfId="0" applyFont="1" applyBorder="1" applyAlignment="1">
      <alignment/>
    </xf>
    <xf numFmtId="3" fontId="57" fillId="0" borderId="34" xfId="0" applyNumberFormat="1" applyFont="1" applyBorder="1" applyAlignment="1">
      <alignment horizontal="right"/>
    </xf>
    <xf numFmtId="3" fontId="57" fillId="0" borderId="34" xfId="0" applyNumberFormat="1" applyFont="1" applyBorder="1" applyAlignment="1">
      <alignment/>
    </xf>
    <xf numFmtId="3" fontId="55" fillId="0" borderId="34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49" fontId="3" fillId="0" borderId="30" xfId="0" applyNumberFormat="1" applyFont="1" applyFill="1" applyBorder="1" applyAlignment="1">
      <alignment horizontal="left" vertical="center" wrapText="1"/>
    </xf>
    <xf numFmtId="0" fontId="4" fillId="0" borderId="30" xfId="0" applyFont="1" applyBorder="1" applyAlignment="1">
      <alignment vertical="center"/>
    </xf>
    <xf numFmtId="0" fontId="57" fillId="0" borderId="30" xfId="0" applyFont="1" applyBorder="1" applyAlignment="1">
      <alignment/>
    </xf>
    <xf numFmtId="0" fontId="55" fillId="0" borderId="30" xfId="0" applyFont="1" applyBorder="1" applyAlignment="1" quotePrefix="1">
      <alignment horizontal="left"/>
    </xf>
    <xf numFmtId="0" fontId="57" fillId="0" borderId="30" xfId="0" applyFont="1" applyBorder="1" applyAlignment="1">
      <alignment horizontal="left"/>
    </xf>
    <xf numFmtId="0" fontId="4" fillId="0" borderId="30" xfId="0" applyFont="1" applyFill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55" fillId="0" borderId="19" xfId="0" applyFont="1" applyBorder="1" applyAlignment="1">
      <alignment/>
    </xf>
    <xf numFmtId="0" fontId="55" fillId="0" borderId="36" xfId="0" applyFont="1" applyBorder="1" applyAlignment="1">
      <alignment/>
    </xf>
    <xf numFmtId="0" fontId="57" fillId="0" borderId="30" xfId="0" applyFont="1" applyFill="1" applyBorder="1" applyAlignment="1">
      <alignment/>
    </xf>
    <xf numFmtId="0" fontId="57" fillId="0" borderId="30" xfId="0" applyFont="1" applyFill="1" applyBorder="1" applyAlignment="1">
      <alignment horizontal="left"/>
    </xf>
    <xf numFmtId="0" fontId="55" fillId="0" borderId="30" xfId="0" applyFont="1" applyFill="1" applyBorder="1" applyAlignment="1">
      <alignment horizontal="left"/>
    </xf>
    <xf numFmtId="0" fontId="55" fillId="0" borderId="30" xfId="0" applyFont="1" applyFill="1" applyBorder="1" applyAlignment="1" quotePrefix="1">
      <alignment horizontal="left"/>
    </xf>
    <xf numFmtId="0" fontId="55" fillId="0" borderId="30" xfId="0" applyFont="1" applyFill="1" applyBorder="1" applyAlignment="1">
      <alignment/>
    </xf>
    <xf numFmtId="0" fontId="11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 horizontal="left"/>
    </xf>
    <xf numFmtId="3" fontId="38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3" fontId="4" fillId="0" borderId="35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/>
    </xf>
    <xf numFmtId="49" fontId="59" fillId="0" borderId="18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0" fontId="62" fillId="0" borderId="0" xfId="0" applyFont="1" applyAlignment="1">
      <alignment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65" fillId="0" borderId="23" xfId="0" applyFont="1" applyFill="1" applyBorder="1" applyAlignment="1">
      <alignment vertical="center"/>
    </xf>
    <xf numFmtId="0" fontId="65" fillId="0" borderId="24" xfId="0" applyFont="1" applyFill="1" applyBorder="1" applyAlignment="1">
      <alignment vertical="center"/>
    </xf>
    <xf numFmtId="0" fontId="35" fillId="0" borderId="0" xfId="0" applyFont="1" applyFill="1" applyAlignment="1">
      <alignment horizontal="center" vertical="center"/>
    </xf>
    <xf numFmtId="0" fontId="65" fillId="0" borderId="22" xfId="0" applyFont="1" applyFill="1" applyBorder="1" applyAlignment="1">
      <alignment vertical="center"/>
    </xf>
    <xf numFmtId="0" fontId="67" fillId="0" borderId="0" xfId="0" applyFont="1" applyFill="1" applyAlignment="1">
      <alignment/>
    </xf>
    <xf numFmtId="0" fontId="68" fillId="0" borderId="0" xfId="0" applyFont="1" applyFill="1" applyBorder="1" applyAlignment="1">
      <alignment/>
    </xf>
    <xf numFmtId="3" fontId="58" fillId="0" borderId="0" xfId="82" applyNumberFormat="1" applyFont="1" applyFill="1" applyBorder="1" applyAlignment="1">
      <alignment vertical="center"/>
    </xf>
    <xf numFmtId="3" fontId="58" fillId="0" borderId="26" xfId="82" applyNumberFormat="1" applyFont="1" applyFill="1" applyBorder="1" applyAlignment="1">
      <alignment vertical="center"/>
    </xf>
    <xf numFmtId="0" fontId="65" fillId="0" borderId="25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5" fillId="0" borderId="26" xfId="0" applyFont="1" applyFill="1" applyBorder="1" applyAlignment="1">
      <alignment/>
    </xf>
    <xf numFmtId="0" fontId="36" fillId="0" borderId="0" xfId="0" applyFont="1" applyFill="1" applyAlignment="1">
      <alignment vertical="center"/>
    </xf>
    <xf numFmtId="0" fontId="69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vertical="center"/>
    </xf>
    <xf numFmtId="0" fontId="36" fillId="0" borderId="0" xfId="0" applyFont="1" applyFill="1" applyAlignment="1">
      <alignment horizontal="left" vertical="center"/>
    </xf>
    <xf numFmtId="0" fontId="38" fillId="0" borderId="0" xfId="0" applyFont="1" applyFill="1" applyAlignment="1">
      <alignment vertical="center"/>
    </xf>
    <xf numFmtId="0" fontId="70" fillId="0" borderId="0" xfId="0" applyFont="1" applyFill="1" applyAlignment="1">
      <alignment/>
    </xf>
    <xf numFmtId="0" fontId="70" fillId="0" borderId="0" xfId="0" applyFont="1" applyFill="1" applyAlignment="1">
      <alignment horizontal="left"/>
    </xf>
    <xf numFmtId="0" fontId="70" fillId="0" borderId="0" xfId="0" applyFont="1" applyFill="1" applyAlignment="1">
      <alignment horizontal="center"/>
    </xf>
    <xf numFmtId="0" fontId="70" fillId="0" borderId="0" xfId="0" applyFont="1" applyFill="1" applyAlignment="1">
      <alignment/>
    </xf>
    <xf numFmtId="0" fontId="70" fillId="0" borderId="0" xfId="0" applyNumberFormat="1" applyFont="1" applyFill="1" applyAlignment="1">
      <alignment horizontal="center"/>
    </xf>
    <xf numFmtId="0" fontId="38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1" fillId="0" borderId="18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left" vertical="center" wrapText="1"/>
    </xf>
    <xf numFmtId="0" fontId="46" fillId="0" borderId="28" xfId="0" applyFont="1" applyFill="1" applyBorder="1" applyAlignment="1">
      <alignment/>
    </xf>
    <xf numFmtId="0" fontId="60" fillId="0" borderId="0" xfId="0" applyFont="1" applyFill="1" applyAlignment="1">
      <alignment vertical="center"/>
    </xf>
    <xf numFmtId="0" fontId="6" fillId="0" borderId="18" xfId="0" applyFont="1" applyFill="1" applyBorder="1" applyAlignment="1">
      <alignment horizontal="left" vertical="center" wrapText="1"/>
    </xf>
    <xf numFmtId="0" fontId="7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69" fillId="0" borderId="0" xfId="0" applyFont="1" applyFill="1" applyAlignment="1">
      <alignment vertical="center" wrapText="1"/>
    </xf>
    <xf numFmtId="0" fontId="69" fillId="0" borderId="0" xfId="0" applyFont="1" applyFill="1" applyAlignment="1">
      <alignment horizontal="center" vertical="center" wrapText="1"/>
    </xf>
    <xf numFmtId="0" fontId="70" fillId="0" borderId="0" xfId="0" applyNumberFormat="1" applyFont="1" applyFill="1" applyAlignment="1">
      <alignment horizontal="center" vertical="center"/>
    </xf>
    <xf numFmtId="187" fontId="119" fillId="0" borderId="0" xfId="0" applyNumberFormat="1" applyFont="1" applyFill="1" applyBorder="1" applyAlignment="1">
      <alignment/>
    </xf>
    <xf numFmtId="187" fontId="119" fillId="0" borderId="26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186" fontId="0" fillId="0" borderId="0" xfId="0" applyNumberFormat="1" applyFont="1" applyFill="1" applyBorder="1" applyAlignment="1">
      <alignment horizontal="center" vertical="center"/>
    </xf>
    <xf numFmtId="0" fontId="46" fillId="54" borderId="25" xfId="0" applyFont="1" applyFill="1" applyBorder="1" applyAlignment="1">
      <alignment horizontal="left"/>
    </xf>
    <xf numFmtId="0" fontId="45" fillId="55" borderId="0" xfId="0" applyFont="1" applyFill="1" applyBorder="1" applyAlignment="1">
      <alignment horizontal="left" vertical="center"/>
    </xf>
    <xf numFmtId="0" fontId="46" fillId="54" borderId="0" xfId="0" applyFont="1" applyFill="1" applyBorder="1" applyAlignment="1">
      <alignment horizontal="left"/>
    </xf>
    <xf numFmtId="187" fontId="45" fillId="54" borderId="0" xfId="0" applyNumberFormat="1" applyFont="1" applyFill="1" applyBorder="1" applyAlignment="1">
      <alignment/>
    </xf>
    <xf numFmtId="0" fontId="45" fillId="54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3" fontId="30" fillId="0" borderId="0" xfId="0" applyNumberFormat="1" applyFont="1" applyFill="1" applyAlignment="1">
      <alignment vertical="center"/>
    </xf>
    <xf numFmtId="3" fontId="45" fillId="0" borderId="0" xfId="0" applyNumberFormat="1" applyFont="1" applyFill="1" applyBorder="1" applyAlignment="1">
      <alignment/>
    </xf>
    <xf numFmtId="186" fontId="8" fillId="0" borderId="18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73" fillId="0" borderId="0" xfId="0" applyNumberFormat="1" applyFont="1" applyFill="1" applyAlignment="1">
      <alignment vertical="center"/>
    </xf>
    <xf numFmtId="3" fontId="73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/>
    </xf>
    <xf numFmtId="3" fontId="74" fillId="0" borderId="0" xfId="0" applyNumberFormat="1" applyFont="1" applyFill="1" applyAlignment="1">
      <alignment/>
    </xf>
    <xf numFmtId="3" fontId="75" fillId="0" borderId="0" xfId="0" applyNumberFormat="1" applyFont="1" applyFill="1" applyAlignment="1">
      <alignment/>
    </xf>
    <xf numFmtId="3" fontId="75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vertical="center"/>
    </xf>
    <xf numFmtId="3" fontId="7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vertical="center"/>
    </xf>
    <xf numFmtId="187" fontId="8" fillId="0" borderId="18" xfId="0" applyNumberFormat="1" applyFont="1" applyFill="1" applyBorder="1" applyAlignment="1">
      <alignment vertical="center"/>
    </xf>
    <xf numFmtId="3" fontId="57" fillId="0" borderId="30" xfId="0" applyNumberFormat="1" applyFont="1" applyBorder="1" applyAlignment="1">
      <alignment/>
    </xf>
    <xf numFmtId="3" fontId="7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3" fillId="0" borderId="30" xfId="0" applyNumberFormat="1" applyFont="1" applyBorder="1" applyAlignment="1">
      <alignment/>
    </xf>
    <xf numFmtId="3" fontId="4" fillId="0" borderId="30" xfId="0" applyNumberFormat="1" applyFont="1" applyBorder="1" applyAlignment="1">
      <alignment horizontal="right"/>
    </xf>
    <xf numFmtId="3" fontId="3" fillId="0" borderId="30" xfId="0" applyNumberFormat="1" applyFont="1" applyBorder="1" applyAlignment="1" quotePrefix="1">
      <alignment horizontal="right"/>
    </xf>
    <xf numFmtId="3" fontId="4" fillId="0" borderId="30" xfId="0" applyNumberFormat="1" applyFont="1" applyBorder="1" applyAlignment="1" quotePrefix="1">
      <alignment horizontal="right"/>
    </xf>
    <xf numFmtId="3" fontId="3" fillId="0" borderId="32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3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186" fontId="30" fillId="0" borderId="0" xfId="0" applyNumberFormat="1" applyFont="1" applyFill="1" applyAlignment="1">
      <alignment vertical="center"/>
    </xf>
    <xf numFmtId="186" fontId="3" fillId="0" borderId="18" xfId="0" applyNumberFormat="1" applyFont="1" applyFill="1" applyBorder="1" applyAlignment="1" quotePrefix="1">
      <alignment vertical="center"/>
    </xf>
    <xf numFmtId="3" fontId="3" fillId="0" borderId="18" xfId="0" applyNumberFormat="1" applyFont="1" applyFill="1" applyBorder="1" applyAlignment="1" quotePrefix="1">
      <alignment vertical="center"/>
    </xf>
    <xf numFmtId="3" fontId="3" fillId="0" borderId="18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9" fillId="0" borderId="0" xfId="0" applyFont="1" applyFill="1" applyAlignment="1">
      <alignment/>
    </xf>
    <xf numFmtId="186" fontId="3" fillId="0" borderId="0" xfId="0" applyNumberFormat="1" applyFont="1" applyFill="1" applyBorder="1" applyAlignment="1">
      <alignment vertical="center"/>
    </xf>
    <xf numFmtId="186" fontId="3" fillId="0" borderId="20" xfId="0" applyNumberFormat="1" applyFont="1" applyFill="1" applyBorder="1" applyAlignment="1">
      <alignment vertical="center"/>
    </xf>
    <xf numFmtId="186" fontId="4" fillId="0" borderId="20" xfId="0" applyNumberFormat="1" applyFont="1" applyFill="1" applyBorder="1" applyAlignment="1">
      <alignment vertical="center"/>
    </xf>
    <xf numFmtId="186" fontId="33" fillId="0" borderId="20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187" fontId="4" fillId="0" borderId="20" xfId="0" applyNumberFormat="1" applyFont="1" applyFill="1" applyBorder="1" applyAlignment="1">
      <alignment vertical="center"/>
    </xf>
    <xf numFmtId="190" fontId="0" fillId="0" borderId="37" xfId="0" applyNumberFormat="1" applyFont="1" applyFill="1" applyBorder="1" applyAlignment="1">
      <alignment horizontal="center" vertical="center" wrapText="1"/>
    </xf>
    <xf numFmtId="190" fontId="0" fillId="0" borderId="37" xfId="0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/>
    </xf>
    <xf numFmtId="49" fontId="79" fillId="0" borderId="18" xfId="0" applyNumberFormat="1" applyFont="1" applyFill="1" applyBorder="1" applyAlignment="1">
      <alignment horizontal="center" vertical="center" wrapText="1" shrinkToFit="1"/>
    </xf>
    <xf numFmtId="190" fontId="6" fillId="0" borderId="18" xfId="0" applyNumberFormat="1" applyFont="1" applyFill="1" applyBorder="1" applyAlignment="1">
      <alignment horizontal="center" vertical="center" wrapText="1"/>
    </xf>
    <xf numFmtId="190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97" fontId="0" fillId="0" borderId="0" xfId="82" applyNumberFormat="1" applyFont="1" applyAlignment="1">
      <alignment/>
    </xf>
    <xf numFmtId="197" fontId="0" fillId="56" borderId="0" xfId="82" applyNumberFormat="1" applyFont="1" applyFill="1" applyAlignment="1">
      <alignment/>
    </xf>
    <xf numFmtId="197" fontId="0" fillId="0" borderId="0" xfId="82" applyNumberFormat="1" applyFont="1" applyFill="1" applyAlignment="1">
      <alignment/>
    </xf>
    <xf numFmtId="197" fontId="0" fillId="0" borderId="0" xfId="0" applyNumberFormat="1" applyAlignment="1">
      <alignment/>
    </xf>
    <xf numFmtId="0" fontId="0" fillId="0" borderId="0" xfId="0" applyFont="1" applyAlignment="1">
      <alignment/>
    </xf>
    <xf numFmtId="0" fontId="89" fillId="0" borderId="0" xfId="0" applyFont="1" applyFill="1" applyAlignment="1">
      <alignment vertical="center"/>
    </xf>
    <xf numFmtId="0" fontId="89" fillId="0" borderId="0" xfId="0" applyFont="1" applyFill="1" applyAlignment="1">
      <alignment horizontal="left" vertical="center"/>
    </xf>
    <xf numFmtId="0" fontId="90" fillId="0" borderId="0" xfId="0" applyFont="1" applyFill="1" applyAlignment="1">
      <alignment vertical="center"/>
    </xf>
    <xf numFmtId="0" fontId="90" fillId="0" borderId="0" xfId="0" applyFont="1" applyFill="1" applyBorder="1" applyAlignment="1">
      <alignment vertical="center"/>
    </xf>
    <xf numFmtId="0" fontId="89" fillId="0" borderId="0" xfId="0" applyFont="1" applyFill="1" applyAlignment="1">
      <alignment/>
    </xf>
    <xf numFmtId="0" fontId="89" fillId="0" borderId="21" xfId="0" applyFont="1" applyFill="1" applyBorder="1" applyAlignment="1">
      <alignment vertical="center"/>
    </xf>
    <xf numFmtId="0" fontId="89" fillId="0" borderId="22" xfId="0" applyFont="1" applyFill="1" applyBorder="1" applyAlignment="1">
      <alignment vertical="center"/>
    </xf>
    <xf numFmtId="0" fontId="89" fillId="0" borderId="23" xfId="0" applyFont="1" applyFill="1" applyBorder="1" applyAlignment="1">
      <alignment vertical="center"/>
    </xf>
    <xf numFmtId="0" fontId="89" fillId="0" borderId="24" xfId="0" applyFont="1" applyFill="1" applyBorder="1" applyAlignment="1">
      <alignment vertical="center"/>
    </xf>
    <xf numFmtId="0" fontId="18" fillId="0" borderId="0" xfId="0" applyFont="1" applyFill="1" applyAlignment="1">
      <alignment/>
    </xf>
    <xf numFmtId="0" fontId="90" fillId="0" borderId="25" xfId="0" applyFont="1" applyFill="1" applyBorder="1" applyAlignment="1">
      <alignment/>
    </xf>
    <xf numFmtId="0" fontId="90" fillId="0" borderId="0" xfId="0" applyFont="1" applyFill="1" applyBorder="1" applyAlignment="1">
      <alignment/>
    </xf>
    <xf numFmtId="3" fontId="89" fillId="0" borderId="0" xfId="82" applyNumberFormat="1" applyFont="1" applyFill="1" applyBorder="1" applyAlignment="1">
      <alignment vertical="center"/>
    </xf>
    <xf numFmtId="3" fontId="89" fillId="0" borderId="26" xfId="82" applyNumberFormat="1" applyFont="1" applyFill="1" applyBorder="1" applyAlignment="1">
      <alignment vertical="center"/>
    </xf>
    <xf numFmtId="0" fontId="89" fillId="0" borderId="0" xfId="0" applyFont="1" applyFill="1" applyBorder="1" applyAlignment="1">
      <alignment/>
    </xf>
    <xf numFmtId="0" fontId="89" fillId="0" borderId="26" xfId="0" applyFont="1" applyFill="1" applyBorder="1" applyAlignment="1">
      <alignment/>
    </xf>
    <xf numFmtId="0" fontId="90" fillId="0" borderId="25" xfId="0" applyFont="1" applyFill="1" applyBorder="1" applyAlignment="1">
      <alignment/>
    </xf>
    <xf numFmtId="0" fontId="89" fillId="0" borderId="0" xfId="0" applyFont="1" applyFill="1" applyBorder="1" applyAlignment="1">
      <alignment vertical="center"/>
    </xf>
    <xf numFmtId="0" fontId="90" fillId="0" borderId="0" xfId="0" applyFont="1" applyFill="1" applyBorder="1" applyAlignment="1">
      <alignment/>
    </xf>
    <xf numFmtId="0" fontId="89" fillId="0" borderId="0" xfId="0" applyFont="1" applyFill="1" applyBorder="1" applyAlignment="1">
      <alignment horizontal="left" vertical="center"/>
    </xf>
    <xf numFmtId="187" fontId="89" fillId="0" borderId="0" xfId="0" applyNumberFormat="1" applyFont="1" applyFill="1" applyBorder="1" applyAlignment="1">
      <alignment/>
    </xf>
    <xf numFmtId="0" fontId="91" fillId="0" borderId="0" xfId="0" applyFont="1" applyFill="1" applyBorder="1" applyAlignment="1">
      <alignment horizontal="center"/>
    </xf>
    <xf numFmtId="0" fontId="91" fillId="0" borderId="26" xfId="0" applyFont="1" applyFill="1" applyBorder="1" applyAlignment="1">
      <alignment horizontal="center"/>
    </xf>
    <xf numFmtId="187" fontId="27" fillId="0" borderId="0" xfId="0" applyNumberFormat="1" applyFont="1" applyFill="1" applyBorder="1" applyAlignment="1">
      <alignment/>
    </xf>
    <xf numFmtId="187" fontId="27" fillId="0" borderId="26" xfId="0" applyNumberFormat="1" applyFont="1" applyFill="1" applyBorder="1" applyAlignment="1">
      <alignment/>
    </xf>
    <xf numFmtId="3" fontId="89" fillId="0" borderId="0" xfId="0" applyNumberFormat="1" applyFont="1" applyFill="1" applyBorder="1" applyAlignment="1">
      <alignment/>
    </xf>
    <xf numFmtId="0" fontId="89" fillId="0" borderId="0" xfId="0" applyFont="1" applyFill="1" applyAlignment="1">
      <alignment horizontal="center"/>
    </xf>
    <xf numFmtId="0" fontId="89" fillId="0" borderId="27" xfId="0" applyFont="1" applyFill="1" applyBorder="1" applyAlignment="1">
      <alignment horizontal="center"/>
    </xf>
    <xf numFmtId="0" fontId="89" fillId="0" borderId="21" xfId="0" applyFont="1" applyFill="1" applyBorder="1" applyAlignment="1">
      <alignment horizontal="center"/>
    </xf>
    <xf numFmtId="49" fontId="89" fillId="0" borderId="18" xfId="0" applyNumberFormat="1" applyFont="1" applyFill="1" applyBorder="1" applyAlignment="1">
      <alignment horizontal="center" vertical="center" wrapText="1" shrinkToFit="1"/>
    </xf>
    <xf numFmtId="190" fontId="90" fillId="0" borderId="18" xfId="0" applyNumberFormat="1" applyFont="1" applyFill="1" applyBorder="1" applyAlignment="1">
      <alignment horizontal="center" vertical="center" wrapText="1"/>
    </xf>
    <xf numFmtId="190" fontId="90" fillId="0" borderId="20" xfId="0" applyNumberFormat="1" applyFont="1" applyFill="1" applyBorder="1" applyAlignment="1">
      <alignment horizontal="center" vertical="center" wrapText="1"/>
    </xf>
    <xf numFmtId="190" fontId="89" fillId="0" borderId="18" xfId="0" applyNumberFormat="1" applyFont="1" applyFill="1" applyBorder="1" applyAlignment="1">
      <alignment horizontal="center" vertical="center" wrapText="1"/>
    </xf>
    <xf numFmtId="0" fontId="90" fillId="0" borderId="18" xfId="0" applyFont="1" applyFill="1" applyBorder="1" applyAlignment="1">
      <alignment horizontal="center" vertical="center"/>
    </xf>
    <xf numFmtId="3" fontId="90" fillId="0" borderId="18" xfId="0" applyNumberFormat="1" applyFont="1" applyFill="1" applyBorder="1" applyAlignment="1">
      <alignment vertical="center"/>
    </xf>
    <xf numFmtId="0" fontId="90" fillId="0" borderId="18" xfId="0" applyFont="1" applyFill="1" applyBorder="1" applyAlignment="1">
      <alignment vertical="center"/>
    </xf>
    <xf numFmtId="3" fontId="89" fillId="0" borderId="0" xfId="0" applyNumberFormat="1" applyFont="1" applyFill="1" applyAlignment="1">
      <alignment/>
    </xf>
    <xf numFmtId="0" fontId="90" fillId="0" borderId="18" xfId="0" applyFont="1" applyFill="1" applyBorder="1" applyAlignment="1">
      <alignment horizontal="left" vertical="center"/>
    </xf>
    <xf numFmtId="0" fontId="89" fillId="0" borderId="18" xfId="0" applyFont="1" applyFill="1" applyBorder="1" applyAlignment="1">
      <alignment horizontal="center" vertical="center"/>
    </xf>
    <xf numFmtId="49" fontId="89" fillId="0" borderId="18" xfId="0" applyNumberFormat="1" applyFont="1" applyFill="1" applyBorder="1" applyAlignment="1">
      <alignment horizontal="center" vertical="center"/>
    </xf>
    <xf numFmtId="0" fontId="89" fillId="0" borderId="18" xfId="0" applyFont="1" applyFill="1" applyBorder="1" applyAlignment="1">
      <alignment horizontal="left" vertical="center"/>
    </xf>
    <xf numFmtId="3" fontId="89" fillId="0" borderId="18" xfId="0" applyNumberFormat="1" applyFont="1" applyFill="1" applyBorder="1" applyAlignment="1">
      <alignment vertical="center"/>
    </xf>
    <xf numFmtId="49" fontId="90" fillId="0" borderId="18" xfId="0" applyNumberFormat="1" applyFont="1" applyFill="1" applyBorder="1" applyAlignment="1">
      <alignment horizontal="center" vertical="center"/>
    </xf>
    <xf numFmtId="0" fontId="89" fillId="0" borderId="18" xfId="0" applyFont="1" applyFill="1" applyBorder="1" applyAlignment="1">
      <alignment vertical="center"/>
    </xf>
    <xf numFmtId="0" fontId="89" fillId="0" borderId="18" xfId="0" applyFont="1" applyFill="1" applyBorder="1" applyAlignment="1">
      <alignment horizontal="justify" vertical="center" wrapText="1"/>
    </xf>
    <xf numFmtId="3" fontId="89" fillId="0" borderId="18" xfId="0" applyNumberFormat="1" applyFont="1" applyFill="1" applyBorder="1" applyAlignment="1">
      <alignment vertical="center" wrapText="1"/>
    </xf>
    <xf numFmtId="0" fontId="90" fillId="0" borderId="18" xfId="0" applyFont="1" applyFill="1" applyBorder="1" applyAlignment="1">
      <alignment horizontal="left" vertical="center" wrapText="1"/>
    </xf>
    <xf numFmtId="3" fontId="90" fillId="0" borderId="18" xfId="0" applyNumberFormat="1" applyFont="1" applyFill="1" applyBorder="1" applyAlignment="1">
      <alignment vertical="center" wrapText="1"/>
    </xf>
    <xf numFmtId="0" fontId="89" fillId="0" borderId="18" xfId="0" applyFont="1" applyFill="1" applyBorder="1" applyAlignment="1">
      <alignment/>
    </xf>
    <xf numFmtId="0" fontId="89" fillId="0" borderId="18" xfId="0" applyFont="1" applyFill="1" applyBorder="1" applyAlignment="1">
      <alignment horizontal="center"/>
    </xf>
    <xf numFmtId="49" fontId="89" fillId="0" borderId="18" xfId="0" applyNumberFormat="1" applyFont="1" applyFill="1" applyBorder="1" applyAlignment="1">
      <alignment horizontal="center"/>
    </xf>
    <xf numFmtId="0" fontId="89" fillId="0" borderId="18" xfId="0" applyFont="1" applyFill="1" applyBorder="1" applyAlignment="1">
      <alignment horizontal="justify"/>
    </xf>
    <xf numFmtId="3" fontId="89" fillId="0" borderId="18" xfId="0" applyNumberFormat="1" applyFont="1" applyFill="1" applyBorder="1" applyAlignment="1">
      <alignment/>
    </xf>
    <xf numFmtId="0" fontId="89" fillId="0" borderId="18" xfId="0" applyFont="1" applyFill="1" applyBorder="1" applyAlignment="1">
      <alignment horizontal="justify" vertical="center"/>
    </xf>
    <xf numFmtId="0" fontId="90" fillId="0" borderId="18" xfId="0" applyFont="1" applyFill="1" applyBorder="1" applyAlignment="1">
      <alignment horizontal="justify" vertical="center" wrapText="1"/>
    </xf>
    <xf numFmtId="0" fontId="90" fillId="0" borderId="18" xfId="0" applyFont="1" applyFill="1" applyBorder="1" applyAlignment="1">
      <alignment vertical="center" wrapText="1"/>
    </xf>
    <xf numFmtId="0" fontId="89" fillId="0" borderId="18" xfId="0" applyFont="1" applyFill="1" applyBorder="1" applyAlignment="1">
      <alignment vertical="center" wrapText="1"/>
    </xf>
    <xf numFmtId="0" fontId="92" fillId="0" borderId="0" xfId="0" applyFont="1" applyFill="1" applyAlignment="1">
      <alignment horizontal="center" vertical="center"/>
    </xf>
    <xf numFmtId="0" fontId="93" fillId="0" borderId="0" xfId="0" applyFont="1" applyFill="1" applyAlignment="1">
      <alignment horizontal="center" vertical="center"/>
    </xf>
    <xf numFmtId="0" fontId="93" fillId="0" borderId="0" xfId="0" applyFont="1" applyFill="1" applyAlignment="1">
      <alignment vertical="center"/>
    </xf>
    <xf numFmtId="0" fontId="92" fillId="0" borderId="0" xfId="0" applyNumberFormat="1" applyFont="1" applyFill="1" applyAlignment="1">
      <alignment horizontal="center" vertical="center"/>
    </xf>
    <xf numFmtId="0" fontId="90" fillId="0" borderId="0" xfId="0" applyFont="1" applyFill="1" applyAlignment="1">
      <alignment horizontal="center" vertical="center"/>
    </xf>
    <xf numFmtId="0" fontId="89" fillId="0" borderId="0" xfId="0" applyFont="1" applyFill="1" applyAlignment="1">
      <alignment horizontal="center" vertical="center"/>
    </xf>
    <xf numFmtId="0" fontId="92" fillId="0" borderId="0" xfId="0" applyFont="1" applyFill="1" applyAlignment="1">
      <alignment/>
    </xf>
    <xf numFmtId="0" fontId="92" fillId="0" borderId="0" xfId="0" applyFont="1" applyFill="1" applyAlignment="1">
      <alignment horizontal="left"/>
    </xf>
    <xf numFmtId="0" fontId="92" fillId="0" borderId="0" xfId="0" applyFont="1" applyFill="1" applyAlignment="1">
      <alignment horizontal="center"/>
    </xf>
    <xf numFmtId="0" fontId="92" fillId="0" borderId="0" xfId="0" applyFont="1" applyFill="1" applyAlignment="1">
      <alignment/>
    </xf>
    <xf numFmtId="0" fontId="92" fillId="0" borderId="0" xfId="0" applyNumberFormat="1" applyFont="1" applyFill="1" applyAlignment="1">
      <alignment horizontal="center"/>
    </xf>
    <xf numFmtId="197" fontId="0" fillId="0" borderId="0" xfId="82" applyNumberFormat="1" applyFont="1" applyFill="1" applyAlignment="1">
      <alignment/>
    </xf>
    <xf numFmtId="0" fontId="90" fillId="0" borderId="0" xfId="0" applyFont="1" applyFill="1" applyAlignment="1">
      <alignment/>
    </xf>
    <xf numFmtId="197" fontId="6" fillId="0" borderId="18" xfId="82" applyNumberFormat="1" applyFont="1" applyFill="1" applyBorder="1" applyAlignment="1">
      <alignment vertical="center"/>
    </xf>
    <xf numFmtId="197" fontId="4" fillId="0" borderId="18" xfId="82" applyNumberFormat="1" applyFont="1" applyFill="1" applyBorder="1" applyAlignment="1">
      <alignment vertical="center"/>
    </xf>
    <xf numFmtId="197" fontId="3" fillId="0" borderId="18" xfId="82" applyNumberFormat="1" applyFont="1" applyFill="1" applyBorder="1" applyAlignment="1">
      <alignment vertical="center"/>
    </xf>
    <xf numFmtId="197" fontId="33" fillId="0" borderId="18" xfId="82" applyNumberFormat="1" applyFont="1" applyFill="1" applyBorder="1" applyAlignment="1">
      <alignment vertical="center"/>
    </xf>
    <xf numFmtId="197" fontId="0" fillId="0" borderId="0" xfId="82" applyNumberFormat="1" applyFont="1" applyAlignment="1">
      <alignment horizontal="center"/>
    </xf>
    <xf numFmtId="197" fontId="0" fillId="31" borderId="0" xfId="82" applyNumberFormat="1" applyFont="1" applyFill="1" applyAlignment="1">
      <alignment horizontal="center"/>
    </xf>
    <xf numFmtId="197" fontId="0" fillId="0" borderId="0" xfId="82" applyNumberFormat="1" applyFont="1" applyFill="1" applyAlignment="1">
      <alignment horizontal="center"/>
    </xf>
    <xf numFmtId="197" fontId="0" fillId="56" borderId="0" xfId="82" applyNumberFormat="1" applyFont="1" applyFill="1" applyAlignment="1">
      <alignment horizontal="center"/>
    </xf>
    <xf numFmtId="197" fontId="0" fillId="0" borderId="0" xfId="82" applyNumberFormat="1" applyFont="1" applyAlignment="1">
      <alignment horizontal="center"/>
    </xf>
    <xf numFmtId="197" fontId="120" fillId="0" borderId="0" xfId="82" applyNumberFormat="1" applyFont="1" applyAlignment="1">
      <alignment horizontal="center"/>
    </xf>
    <xf numFmtId="197" fontId="0" fillId="0" borderId="0" xfId="82" applyNumberFormat="1" applyFont="1" applyAlignment="1">
      <alignment horizontal="left"/>
    </xf>
    <xf numFmtId="197" fontId="29" fillId="0" borderId="0" xfId="82" applyNumberFormat="1" applyFont="1" applyFill="1" applyBorder="1" applyAlignment="1">
      <alignment vertical="center"/>
    </xf>
    <xf numFmtId="197" fontId="65" fillId="0" borderId="23" xfId="82" applyNumberFormat="1" applyFont="1" applyFill="1" applyBorder="1" applyAlignment="1">
      <alignment vertical="center"/>
    </xf>
    <xf numFmtId="197" fontId="35" fillId="0" borderId="0" xfId="82" applyNumberFormat="1" applyFont="1" applyFill="1" applyBorder="1" applyAlignment="1">
      <alignment horizontal="center" vertical="center"/>
    </xf>
    <xf numFmtId="197" fontId="0" fillId="0" borderId="0" xfId="82" applyNumberFormat="1" applyFont="1" applyFill="1" applyBorder="1" applyAlignment="1">
      <alignment horizontal="center" vertical="center"/>
    </xf>
    <xf numFmtId="197" fontId="44" fillId="0" borderId="21" xfId="82" applyNumberFormat="1" applyFont="1" applyFill="1" applyBorder="1" applyAlignment="1">
      <alignment vertical="center"/>
    </xf>
    <xf numFmtId="197" fontId="46" fillId="0" borderId="28" xfId="82" applyNumberFormat="1" applyFont="1" applyFill="1" applyBorder="1" applyAlignment="1">
      <alignment/>
    </xf>
    <xf numFmtId="197" fontId="45" fillId="0" borderId="18" xfId="82" applyNumberFormat="1" applyFont="1" applyFill="1" applyBorder="1" applyAlignment="1">
      <alignment horizontal="center" vertical="center"/>
    </xf>
    <xf numFmtId="197" fontId="30" fillId="0" borderId="18" xfId="82" applyNumberFormat="1" applyFont="1" applyFill="1" applyBorder="1" applyAlignment="1">
      <alignment vertical="center"/>
    </xf>
    <xf numFmtId="197" fontId="32" fillId="0" borderId="18" xfId="82" applyNumberFormat="1" applyFont="1" applyFill="1" applyBorder="1" applyAlignment="1">
      <alignment vertical="center"/>
    </xf>
    <xf numFmtId="197" fontId="30" fillId="0" borderId="18" xfId="82" applyNumberFormat="1" applyFont="1" applyFill="1" applyBorder="1" applyAlignment="1">
      <alignment vertical="center" wrapText="1"/>
    </xf>
    <xf numFmtId="197" fontId="30" fillId="0" borderId="18" xfId="82" applyNumberFormat="1" applyFont="1" applyFill="1" applyBorder="1" applyAlignment="1">
      <alignment horizontal="center" vertical="center"/>
    </xf>
    <xf numFmtId="197" fontId="30" fillId="0" borderId="18" xfId="82" applyNumberFormat="1" applyFont="1" applyFill="1" applyBorder="1" applyAlignment="1">
      <alignment horizontal="center" vertical="center" wrapText="1"/>
    </xf>
    <xf numFmtId="197" fontId="32" fillId="0" borderId="18" xfId="82" applyNumberFormat="1" applyFont="1" applyFill="1" applyBorder="1" applyAlignment="1">
      <alignment horizontal="center" vertical="center"/>
    </xf>
    <xf numFmtId="197" fontId="33" fillId="0" borderId="18" xfId="82" applyNumberFormat="1" applyFont="1" applyFill="1" applyBorder="1" applyAlignment="1">
      <alignment vertical="center"/>
    </xf>
    <xf numFmtId="197" fontId="0" fillId="0" borderId="0" xfId="82" applyNumberFormat="1" applyFont="1" applyFill="1" applyAlignment="1">
      <alignment vertical="center"/>
    </xf>
    <xf numFmtId="0" fontId="70" fillId="0" borderId="0" xfId="0" applyFont="1" applyFill="1" applyAlignment="1">
      <alignment wrapText="1"/>
    </xf>
    <xf numFmtId="197" fontId="103" fillId="0" borderId="0" xfId="82" applyNumberFormat="1" applyFont="1" applyFill="1" applyAlignment="1">
      <alignment/>
    </xf>
    <xf numFmtId="197" fontId="121" fillId="0" borderId="0" xfId="82" applyNumberFormat="1" applyFont="1" applyFill="1" applyAlignment="1">
      <alignment/>
    </xf>
    <xf numFmtId="197" fontId="121" fillId="0" borderId="0" xfId="82" applyNumberFormat="1" applyFont="1" applyFill="1" applyAlignment="1">
      <alignment wrapText="1"/>
    </xf>
    <xf numFmtId="0" fontId="121" fillId="0" borderId="0" xfId="0" applyFont="1" applyFill="1" applyAlignment="1">
      <alignment/>
    </xf>
    <xf numFmtId="0" fontId="121" fillId="0" borderId="0" xfId="0" applyFont="1" applyFill="1" applyAlignment="1">
      <alignment wrapText="1"/>
    </xf>
    <xf numFmtId="3" fontId="121" fillId="0" borderId="0" xfId="0" applyNumberFormat="1" applyFont="1" applyFill="1" applyAlignment="1">
      <alignment/>
    </xf>
    <xf numFmtId="197" fontId="122" fillId="0" borderId="0" xfId="82" applyNumberFormat="1" applyFont="1" applyFill="1" applyAlignment="1">
      <alignment vertical="center"/>
    </xf>
    <xf numFmtId="197" fontId="122" fillId="0" borderId="0" xfId="82" applyNumberFormat="1" applyFont="1" applyFill="1" applyAlignment="1">
      <alignment horizontal="center" vertical="center"/>
    </xf>
    <xf numFmtId="197" fontId="122" fillId="0" borderId="0" xfId="82" applyNumberFormat="1" applyFont="1" applyFill="1" applyAlignment="1">
      <alignment horizontal="left" vertical="center"/>
    </xf>
    <xf numFmtId="197" fontId="123" fillId="0" borderId="0" xfId="82" applyNumberFormat="1" applyFont="1" applyFill="1" applyBorder="1" applyAlignment="1">
      <alignment horizontal="right" vertical="center"/>
    </xf>
    <xf numFmtId="190" fontId="0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97" fontId="0" fillId="0" borderId="0" xfId="0" applyNumberFormat="1" applyFill="1" applyAlignment="1">
      <alignment/>
    </xf>
    <xf numFmtId="197" fontId="120" fillId="0" borderId="0" xfId="82" applyNumberFormat="1" applyFont="1" applyFill="1" applyAlignment="1">
      <alignment horizontal="center"/>
    </xf>
    <xf numFmtId="197" fontId="120" fillId="0" borderId="0" xfId="82" applyNumberFormat="1" applyFont="1" applyFill="1" applyAlignment="1">
      <alignment/>
    </xf>
    <xf numFmtId="0" fontId="120" fillId="0" borderId="0" xfId="0" applyFont="1" applyFill="1" applyAlignment="1">
      <alignment/>
    </xf>
    <xf numFmtId="197" fontId="120" fillId="0" borderId="0" xfId="0" applyNumberFormat="1" applyFont="1" applyFill="1" applyAlignment="1">
      <alignment/>
    </xf>
    <xf numFmtId="14" fontId="82" fillId="57" borderId="38" xfId="0" applyNumberFormat="1" applyFont="1" applyFill="1" applyBorder="1" applyAlignment="1">
      <alignment horizontal="right" vertical="top" wrapText="1"/>
    </xf>
    <xf numFmtId="197" fontId="82" fillId="57" borderId="18" xfId="82" applyNumberFormat="1" applyFont="1" applyFill="1" applyBorder="1" applyAlignment="1">
      <alignment vertical="top" wrapText="1"/>
    </xf>
    <xf numFmtId="197" fontId="82" fillId="56" borderId="18" xfId="82" applyNumberFormat="1" applyFont="1" applyFill="1" applyBorder="1" applyAlignment="1">
      <alignment vertical="top" wrapText="1"/>
    </xf>
    <xf numFmtId="14" fontId="82" fillId="0" borderId="38" xfId="0" applyNumberFormat="1" applyFont="1" applyFill="1" applyBorder="1" applyAlignment="1">
      <alignment horizontal="right" vertical="top" wrapText="1"/>
    </xf>
    <xf numFmtId="197" fontId="82" fillId="0" borderId="18" xfId="82" applyNumberFormat="1" applyFont="1" applyFill="1" applyBorder="1" applyAlignment="1">
      <alignment vertical="top" wrapText="1"/>
    </xf>
    <xf numFmtId="0" fontId="0" fillId="56" borderId="0" xfId="0" applyFont="1" applyFill="1" applyAlignment="1">
      <alignment/>
    </xf>
    <xf numFmtId="0" fontId="0" fillId="0" borderId="0" xfId="0" applyFont="1" applyFill="1" applyAlignment="1">
      <alignment/>
    </xf>
    <xf numFmtId="197" fontId="0" fillId="0" borderId="0" xfId="82" applyNumberFormat="1" applyFont="1" applyAlignment="1">
      <alignment/>
    </xf>
    <xf numFmtId="197" fontId="0" fillId="0" borderId="0" xfId="82" applyNumberFormat="1" applyFont="1" applyBorder="1" applyAlignment="1">
      <alignment/>
    </xf>
    <xf numFmtId="0" fontId="0" fillId="0" borderId="0" xfId="0" applyFill="1" applyBorder="1" applyAlignment="1">
      <alignment/>
    </xf>
    <xf numFmtId="197" fontId="0" fillId="0" borderId="0" xfId="82" applyNumberFormat="1" applyFont="1" applyFill="1" applyBorder="1" applyAlignment="1">
      <alignment/>
    </xf>
    <xf numFmtId="197" fontId="82" fillId="0" borderId="0" xfId="82" applyNumberFormat="1" applyFont="1" applyFill="1" applyBorder="1" applyAlignment="1">
      <alignment vertical="top" wrapText="1"/>
    </xf>
    <xf numFmtId="0" fontId="124" fillId="0" borderId="0" xfId="0" applyFont="1" applyFill="1" applyAlignment="1">
      <alignment/>
    </xf>
    <xf numFmtId="197" fontId="124" fillId="0" borderId="0" xfId="82" applyNumberFormat="1" applyFont="1" applyFill="1" applyAlignment="1">
      <alignment/>
    </xf>
    <xf numFmtId="0" fontId="91" fillId="0" borderId="0" xfId="0" applyFont="1" applyFill="1" applyBorder="1" applyAlignment="1">
      <alignment horizontal="center"/>
    </xf>
    <xf numFmtId="0" fontId="91" fillId="0" borderId="2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197" fontId="7" fillId="0" borderId="18" xfId="82" applyNumberFormat="1" applyFont="1" applyFill="1" applyBorder="1" applyAlignment="1">
      <alignment vertical="center"/>
    </xf>
    <xf numFmtId="197" fontId="3" fillId="0" borderId="18" xfId="82" applyNumberFormat="1" applyFont="1" applyFill="1" applyBorder="1" applyAlignment="1">
      <alignment vertical="center" wrapText="1"/>
    </xf>
    <xf numFmtId="197" fontId="4" fillId="0" borderId="18" xfId="82" applyNumberFormat="1" applyFont="1" applyFill="1" applyBorder="1" applyAlignment="1">
      <alignment vertical="center" wrapText="1"/>
    </xf>
    <xf numFmtId="197" fontId="3" fillId="0" borderId="0" xfId="82" applyNumberFormat="1" applyFont="1" applyFill="1" applyAlignment="1">
      <alignment/>
    </xf>
    <xf numFmtId="0" fontId="67" fillId="0" borderId="0" xfId="0" applyFont="1" applyFill="1" applyBorder="1" applyAlignment="1">
      <alignment/>
    </xf>
    <xf numFmtId="0" fontId="67" fillId="0" borderId="26" xfId="0" applyFont="1" applyFill="1" applyBorder="1" applyAlignment="1">
      <alignment/>
    </xf>
    <xf numFmtId="197" fontId="121" fillId="0" borderId="0" xfId="82" applyNumberFormat="1" applyFont="1" applyFill="1" applyAlignment="1">
      <alignment vertical="center"/>
    </xf>
    <xf numFmtId="197" fontId="121" fillId="0" borderId="0" xfId="82" applyNumberFormat="1" applyFont="1" applyFill="1" applyAlignment="1">
      <alignment horizontal="center" vertical="center"/>
    </xf>
    <xf numFmtId="197" fontId="121" fillId="0" borderId="0" xfId="82" applyNumberFormat="1" applyFont="1" applyFill="1" applyAlignment="1">
      <alignment horizontal="left" vertical="center"/>
    </xf>
    <xf numFmtId="197" fontId="125" fillId="0" borderId="0" xfId="82" applyNumberFormat="1" applyFont="1" applyFill="1" applyBorder="1" applyAlignment="1">
      <alignment horizontal="right" vertical="center"/>
    </xf>
    <xf numFmtId="0" fontId="122" fillId="0" borderId="0" xfId="0" applyFont="1" applyFill="1" applyAlignment="1">
      <alignment vertical="center"/>
    </xf>
    <xf numFmtId="0" fontId="124" fillId="0" borderId="0" xfId="0" applyFont="1" applyFill="1" applyAlignment="1">
      <alignment horizontal="center" vertical="center"/>
    </xf>
    <xf numFmtId="0" fontId="124" fillId="0" borderId="0" xfId="0" applyFont="1" applyFill="1" applyAlignment="1">
      <alignment horizontal="left" vertical="center"/>
    </xf>
    <xf numFmtId="0" fontId="124" fillId="0" borderId="0" xfId="0" applyFont="1" applyFill="1" applyAlignment="1">
      <alignment vertical="center"/>
    </xf>
    <xf numFmtId="0" fontId="126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/>
    </xf>
    <xf numFmtId="186" fontId="0" fillId="0" borderId="0" xfId="0" applyNumberFormat="1" applyFill="1" applyAlignment="1">
      <alignment vertical="center"/>
    </xf>
    <xf numFmtId="0" fontId="124" fillId="0" borderId="0" xfId="0" applyFont="1" applyFill="1" applyAlignment="1">
      <alignment horizontal="left" vertical="center" wrapText="1"/>
    </xf>
    <xf numFmtId="186" fontId="124" fillId="0" borderId="0" xfId="0" applyNumberFormat="1" applyFont="1" applyFill="1" applyAlignment="1">
      <alignment vertical="center"/>
    </xf>
    <xf numFmtId="197" fontId="124" fillId="0" borderId="0" xfId="82" applyNumberFormat="1" applyFont="1" applyFill="1" applyAlignment="1">
      <alignment vertical="center"/>
    </xf>
    <xf numFmtId="186" fontId="123" fillId="0" borderId="0" xfId="0" applyNumberFormat="1" applyFont="1" applyFill="1" applyBorder="1" applyAlignment="1">
      <alignment horizontal="right" vertical="center"/>
    </xf>
    <xf numFmtId="203" fontId="3" fillId="0" borderId="18" xfId="0" applyNumberFormat="1" applyFont="1" applyFill="1" applyBorder="1" applyAlignment="1">
      <alignment vertical="center"/>
    </xf>
    <xf numFmtId="203" fontId="4" fillId="0" borderId="18" xfId="0" applyNumberFormat="1" applyFont="1" applyFill="1" applyBorder="1" applyAlignment="1">
      <alignment vertical="center"/>
    </xf>
    <xf numFmtId="197" fontId="0" fillId="58" borderId="0" xfId="82" applyNumberFormat="1" applyFont="1" applyFill="1" applyAlignment="1">
      <alignment horizontal="center"/>
    </xf>
    <xf numFmtId="197" fontId="0" fillId="58" borderId="0" xfId="82" applyNumberFormat="1" applyFont="1" applyFill="1" applyAlignment="1">
      <alignment/>
    </xf>
    <xf numFmtId="197" fontId="8" fillId="0" borderId="0" xfId="82" applyNumberFormat="1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center"/>
    </xf>
    <xf numFmtId="3" fontId="55" fillId="0" borderId="30" xfId="0" applyNumberFormat="1" applyFont="1" applyFill="1" applyBorder="1" applyAlignment="1">
      <alignment/>
    </xf>
    <xf numFmtId="0" fontId="77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center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/>
    </xf>
    <xf numFmtId="0" fontId="51" fillId="0" borderId="29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3" fillId="0" borderId="2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26" xfId="0" applyFont="1" applyFill="1" applyBorder="1" applyAlignment="1">
      <alignment horizontal="right"/>
    </xf>
    <xf numFmtId="49" fontId="7" fillId="0" borderId="39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51" fillId="0" borderId="28" xfId="0" applyFont="1" applyFill="1" applyBorder="1" applyAlignment="1">
      <alignment horizontal="center"/>
    </xf>
    <xf numFmtId="49" fontId="90" fillId="0" borderId="19" xfId="0" applyNumberFormat="1" applyFont="1" applyFill="1" applyBorder="1" applyAlignment="1">
      <alignment horizontal="center" vertical="center" wrapText="1"/>
    </xf>
    <xf numFmtId="49" fontId="90" fillId="0" borderId="37" xfId="0" applyNumberFormat="1" applyFont="1" applyFill="1" applyBorder="1" applyAlignment="1">
      <alignment horizontal="center" vertical="center" wrapText="1"/>
    </xf>
    <xf numFmtId="0" fontId="93" fillId="0" borderId="0" xfId="0" applyFont="1" applyFill="1" applyAlignment="1">
      <alignment horizontal="center" vertical="center" wrapText="1"/>
    </xf>
    <xf numFmtId="0" fontId="89" fillId="0" borderId="0" xfId="0" applyFont="1" applyFill="1" applyAlignment="1">
      <alignment horizontal="center" vertical="center"/>
    </xf>
    <xf numFmtId="0" fontId="92" fillId="0" borderId="0" xfId="0" applyFont="1" applyFill="1" applyAlignment="1">
      <alignment horizontal="center"/>
    </xf>
    <xf numFmtId="0" fontId="91" fillId="0" borderId="0" xfId="0" applyFont="1" applyFill="1" applyBorder="1" applyAlignment="1">
      <alignment horizontal="right"/>
    </xf>
    <xf numFmtId="0" fontId="91" fillId="0" borderId="26" xfId="0" applyFont="1" applyFill="1" applyBorder="1" applyAlignment="1">
      <alignment horizontal="right"/>
    </xf>
    <xf numFmtId="0" fontId="91" fillId="0" borderId="21" xfId="0" applyFont="1" applyFill="1" applyBorder="1" applyAlignment="1">
      <alignment horizontal="center"/>
    </xf>
    <xf numFmtId="0" fontId="91" fillId="0" borderId="29" xfId="0" applyFont="1" applyFill="1" applyBorder="1" applyAlignment="1">
      <alignment horizontal="center"/>
    </xf>
    <xf numFmtId="49" fontId="90" fillId="0" borderId="20" xfId="0" applyNumberFormat="1" applyFont="1" applyFill="1" applyBorder="1" applyAlignment="1">
      <alignment horizontal="center" vertical="center" wrapText="1"/>
    </xf>
    <xf numFmtId="49" fontId="90" fillId="0" borderId="28" xfId="0" applyNumberFormat="1" applyFont="1" applyFill="1" applyBorder="1" applyAlignment="1">
      <alignment horizontal="center" vertical="center" wrapText="1"/>
    </xf>
    <xf numFmtId="49" fontId="90" fillId="0" borderId="25" xfId="0" applyNumberFormat="1" applyFont="1" applyFill="1" applyBorder="1" applyAlignment="1">
      <alignment horizontal="center" vertical="center" wrapText="1"/>
    </xf>
    <xf numFmtId="49" fontId="90" fillId="0" borderId="27" xfId="0" applyNumberFormat="1" applyFont="1" applyFill="1" applyBorder="1" applyAlignment="1">
      <alignment horizontal="center" vertical="center" wrapText="1"/>
    </xf>
    <xf numFmtId="0" fontId="90" fillId="0" borderId="0" xfId="0" applyFont="1" applyFill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/>
    </xf>
    <xf numFmtId="0" fontId="91" fillId="0" borderId="26" xfId="0" applyFont="1" applyFill="1" applyBorder="1" applyAlignment="1">
      <alignment horizontal="center"/>
    </xf>
    <xf numFmtId="49" fontId="90" fillId="0" borderId="19" xfId="0" applyNumberFormat="1" applyFont="1" applyFill="1" applyBorder="1" applyAlignment="1">
      <alignment horizontal="center" vertical="center"/>
    </xf>
    <xf numFmtId="49" fontId="90" fillId="0" borderId="37" xfId="0" applyNumberFormat="1" applyFont="1" applyFill="1" applyBorder="1" applyAlignment="1">
      <alignment horizontal="center" vertical="center"/>
    </xf>
    <xf numFmtId="49" fontId="90" fillId="0" borderId="27" xfId="0" applyNumberFormat="1" applyFont="1" applyFill="1" applyBorder="1" applyAlignment="1">
      <alignment horizontal="center" vertical="center"/>
    </xf>
    <xf numFmtId="49" fontId="90" fillId="0" borderId="21" xfId="0" applyNumberFormat="1" applyFont="1" applyFill="1" applyBorder="1" applyAlignment="1">
      <alignment horizontal="center" vertical="center"/>
    </xf>
    <xf numFmtId="49" fontId="90" fillId="0" borderId="29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39" xfId="0" applyFill="1" applyBorder="1" applyAlignment="1">
      <alignment/>
    </xf>
    <xf numFmtId="0" fontId="6" fillId="0" borderId="2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49" fontId="46" fillId="0" borderId="19" xfId="0" applyNumberFormat="1" applyFont="1" applyFill="1" applyBorder="1" applyAlignment="1">
      <alignment horizontal="center" vertical="center" wrapText="1"/>
    </xf>
    <xf numFmtId="49" fontId="46" fillId="0" borderId="3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87" fontId="66" fillId="0" borderId="0" xfId="0" applyNumberFormat="1" applyFont="1" applyFill="1" applyBorder="1" applyAlignment="1">
      <alignment horizontal="left"/>
    </xf>
    <xf numFmtId="187" fontId="66" fillId="0" borderId="26" xfId="0" applyNumberFormat="1" applyFont="1" applyFill="1" applyBorder="1" applyAlignment="1">
      <alignment horizontal="left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46" fillId="0" borderId="40" xfId="0" applyNumberFormat="1" applyFont="1" applyFill="1" applyBorder="1" applyAlignment="1">
      <alignment horizontal="center" vertical="center"/>
    </xf>
    <xf numFmtId="49" fontId="46" fillId="0" borderId="37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 wrapText="1"/>
    </xf>
    <xf numFmtId="49" fontId="11" fillId="0" borderId="37" xfId="0" applyNumberFormat="1" applyFont="1" applyFill="1" applyBorder="1" applyAlignment="1">
      <alignment horizontal="center" vertical="center" wrapText="1"/>
    </xf>
    <xf numFmtId="49" fontId="46" fillId="0" borderId="20" xfId="0" applyNumberFormat="1" applyFont="1" applyFill="1" applyBorder="1" applyAlignment="1">
      <alignment horizontal="center" vertical="center" wrapText="1"/>
    </xf>
    <xf numFmtId="49" fontId="46" fillId="0" borderId="28" xfId="0" applyNumberFormat="1" applyFont="1" applyFill="1" applyBorder="1" applyAlignment="1">
      <alignment horizontal="center" vertical="center" wrapText="1"/>
    </xf>
    <xf numFmtId="49" fontId="46" fillId="0" borderId="18" xfId="0" applyNumberFormat="1" applyFont="1" applyFill="1" applyBorder="1" applyAlignment="1">
      <alignment horizontal="center" vertical="center" wrapText="1"/>
    </xf>
    <xf numFmtId="197" fontId="46" fillId="0" borderId="40" xfId="82" applyNumberFormat="1" applyFont="1" applyFill="1" applyBorder="1" applyAlignment="1">
      <alignment horizontal="center" vertical="center" wrapText="1"/>
    </xf>
    <xf numFmtId="197" fontId="46" fillId="0" borderId="37" xfId="82" applyNumberFormat="1" applyFont="1" applyFill="1" applyBorder="1" applyAlignment="1">
      <alignment horizontal="center" vertical="center" wrapText="1"/>
    </xf>
    <xf numFmtId="49" fontId="10" fillId="0" borderId="40" xfId="0" applyNumberFormat="1" applyFont="1" applyFill="1" applyBorder="1" applyAlignment="1">
      <alignment horizontal="center" vertical="center"/>
    </xf>
    <xf numFmtId="49" fontId="11" fillId="0" borderId="37" xfId="0" applyNumberFormat="1" applyFont="1" applyFill="1" applyBorder="1" applyAlignment="1">
      <alignment horizontal="center" vertical="center"/>
    </xf>
    <xf numFmtId="49" fontId="46" fillId="0" borderId="22" xfId="0" applyNumberFormat="1" applyFont="1" applyFill="1" applyBorder="1" applyAlignment="1">
      <alignment horizontal="center" vertical="center" wrapText="1"/>
    </xf>
    <xf numFmtId="49" fontId="46" fillId="0" borderId="23" xfId="0" applyNumberFormat="1" applyFont="1" applyFill="1" applyBorder="1" applyAlignment="1">
      <alignment horizontal="center" vertical="center" wrapText="1"/>
    </xf>
    <xf numFmtId="49" fontId="46" fillId="0" borderId="24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195" fontId="13" fillId="0" borderId="0" xfId="0" applyNumberFormat="1" applyFont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3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uro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Incorrecto" xfId="79"/>
    <cellStyle name="Input" xfId="80"/>
    <cellStyle name="Linked Cell" xfId="81"/>
    <cellStyle name="Comma" xfId="82"/>
    <cellStyle name="Comma [0]" xfId="83"/>
    <cellStyle name="Millares 2" xfId="84"/>
    <cellStyle name="Millares 3" xfId="85"/>
    <cellStyle name="Currency" xfId="86"/>
    <cellStyle name="Currency [0]" xfId="87"/>
    <cellStyle name="Neutral" xfId="88"/>
    <cellStyle name="Normal 2" xfId="89"/>
    <cellStyle name="Notas" xfId="90"/>
    <cellStyle name="Note" xfId="91"/>
    <cellStyle name="Output" xfId="92"/>
    <cellStyle name="Percent" xfId="93"/>
    <cellStyle name="Salida" xfId="94"/>
    <cellStyle name="Texto de advertencia" xfId="95"/>
    <cellStyle name="Texto explicativo" xfId="96"/>
    <cellStyle name="Title" xfId="97"/>
    <cellStyle name="Título" xfId="98"/>
    <cellStyle name="Título 1" xfId="99"/>
    <cellStyle name="Título 2" xfId="100"/>
    <cellStyle name="Título 3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79</xdr:row>
      <xdr:rowOff>161925</xdr:rowOff>
    </xdr:from>
    <xdr:to>
      <xdr:col>3</xdr:col>
      <xdr:colOff>47625</xdr:colOff>
      <xdr:row>80</xdr:row>
      <xdr:rowOff>28575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476875" y="12963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ownloads\MUNICARMELO\EJECUCI&#211;N%20PRESUPUESTARIA%20-%20PRIMER%20SEMESTRE%20-%20DESCARG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NACIDE"/>
      <sheetName val="ROYALTIES"/>
      <sheetName val="GENUINO"/>
      <sheetName val="GASTOS MATRIZ"/>
      <sheetName val="RESU X MES"/>
      <sheetName val="Movimiento"/>
      <sheetName val="ING.MATRIZ"/>
      <sheetName val="RESUMEN xMes"/>
      <sheetName val="ING.FONACIDE"/>
      <sheetName val="ING.ROYALTIES"/>
      <sheetName val="BALANCE"/>
      <sheetName val="ESTADO DE RESULTADO"/>
      <sheetName val="junta municipal"/>
    </sheetNames>
    <sheetDataSet>
      <sheetData sheetId="0">
        <row r="12">
          <cell r="G12" t="str">
            <v>235 MUNICIPALIDAD DE CARMELO PERALTA</v>
          </cell>
        </row>
      </sheetData>
      <sheetData sheetId="3">
        <row r="19">
          <cell r="A19">
            <v>100</v>
          </cell>
          <cell r="F19" t="str">
            <v>SERVICIOS PERSONALES</v>
          </cell>
        </row>
        <row r="20">
          <cell r="B20">
            <v>110</v>
          </cell>
          <cell r="F20" t="str">
            <v>Remuneraciones Básicas</v>
          </cell>
        </row>
        <row r="26">
          <cell r="B26">
            <v>120</v>
          </cell>
          <cell r="F26" t="str">
            <v>Remuneraciones Temporales</v>
          </cell>
        </row>
        <row r="30">
          <cell r="B30">
            <v>130</v>
          </cell>
          <cell r="F30" t="str">
            <v>Asignaciones Complementarias</v>
          </cell>
        </row>
        <row r="38">
          <cell r="B38">
            <v>140</v>
          </cell>
          <cell r="F38" t="str">
            <v>Personal Contratado</v>
          </cell>
        </row>
        <row r="39">
          <cell r="C39">
            <v>141</v>
          </cell>
          <cell r="D39" t="str">
            <v>30</v>
          </cell>
          <cell r="E39" t="str">
            <v>011</v>
          </cell>
          <cell r="F39" t="str">
            <v>Contratación de Personal Técnico</v>
          </cell>
          <cell r="G39">
            <v>0</v>
          </cell>
          <cell r="H39">
            <v>0</v>
          </cell>
        </row>
        <row r="43">
          <cell r="C43">
            <v>145</v>
          </cell>
          <cell r="D43" t="str">
            <v>30</v>
          </cell>
          <cell r="E43" t="str">
            <v>011</v>
          </cell>
          <cell r="F43" t="str">
            <v>Honorarios Profesionales</v>
          </cell>
          <cell r="G43">
            <v>40500000</v>
          </cell>
        </row>
        <row r="47">
          <cell r="C47">
            <v>144</v>
          </cell>
          <cell r="D47" t="str">
            <v>30</v>
          </cell>
          <cell r="E47" t="str">
            <v>011</v>
          </cell>
          <cell r="F47" t="str">
            <v>Jornales</v>
          </cell>
          <cell r="G47">
            <v>136890000</v>
          </cell>
        </row>
        <row r="51">
          <cell r="B51">
            <v>190</v>
          </cell>
          <cell r="F51" t="str">
            <v>Otros Gastos del Personal</v>
          </cell>
        </row>
        <row r="52">
          <cell r="C52">
            <v>199</v>
          </cell>
          <cell r="D52" t="str">
            <v>30</v>
          </cell>
          <cell r="E52" t="str">
            <v>011</v>
          </cell>
          <cell r="F52" t="str">
            <v>Otros Gastos del Personal</v>
          </cell>
          <cell r="G52">
            <v>0</v>
          </cell>
          <cell r="H52">
            <v>2263333</v>
          </cell>
        </row>
        <row r="55">
          <cell r="A55">
            <v>200</v>
          </cell>
          <cell r="F55" t="str">
            <v>SERVICIOS NO PERSONALES</v>
          </cell>
        </row>
        <row r="56">
          <cell r="B56">
            <v>210</v>
          </cell>
          <cell r="F56" t="str">
            <v>Servicios Básicos</v>
          </cell>
        </row>
        <row r="59">
          <cell r="B59">
            <v>220</v>
          </cell>
          <cell r="F59" t="str">
            <v>Transporte y Almacenaje</v>
          </cell>
        </row>
        <row r="62">
          <cell r="B62">
            <v>230</v>
          </cell>
          <cell r="F62" t="str">
            <v>Pasajes y Viáticos</v>
          </cell>
        </row>
        <row r="66">
          <cell r="B66">
            <v>240</v>
          </cell>
          <cell r="F66" t="str">
            <v>Gastos p/ Serv. de Aseo Mant. y Repar.</v>
          </cell>
        </row>
        <row r="67">
          <cell r="C67">
            <v>240</v>
          </cell>
          <cell r="D67" t="str">
            <v>30</v>
          </cell>
          <cell r="E67" t="str">
            <v>011</v>
          </cell>
          <cell r="F67" t="str">
            <v>Gastos por Servicios de Aseo, Mantenimiento  y Reparación</v>
          </cell>
          <cell r="G67">
            <v>0</v>
          </cell>
          <cell r="H67">
            <v>0</v>
          </cell>
        </row>
        <row r="72">
          <cell r="B72">
            <v>250</v>
          </cell>
          <cell r="F72" t="str">
            <v>Alquileres y Derechos</v>
          </cell>
        </row>
        <row r="73">
          <cell r="C73">
            <v>250</v>
          </cell>
          <cell r="D73" t="str">
            <v>30</v>
          </cell>
          <cell r="E73" t="str">
            <v>011</v>
          </cell>
          <cell r="F73" t="str">
            <v>Alquileres y Derechos</v>
          </cell>
          <cell r="G73">
            <v>0</v>
          </cell>
          <cell r="H73">
            <v>0</v>
          </cell>
        </row>
        <row r="76">
          <cell r="B76">
            <v>260</v>
          </cell>
          <cell r="F76" t="str">
            <v>Servicios Técnicos y Profesionales</v>
          </cell>
        </row>
        <row r="77">
          <cell r="C77">
            <v>260</v>
          </cell>
          <cell r="D77" t="str">
            <v>30</v>
          </cell>
          <cell r="E77" t="str">
            <v>011</v>
          </cell>
          <cell r="F77" t="str">
            <v>Servicios Técnicos y Profesionales</v>
          </cell>
          <cell r="G77">
            <v>0</v>
          </cell>
          <cell r="H77">
            <v>0</v>
          </cell>
        </row>
        <row r="81">
          <cell r="B81">
            <v>270</v>
          </cell>
          <cell r="F81" t="str">
            <v>Servicio Social</v>
          </cell>
        </row>
        <row r="82">
          <cell r="C82">
            <v>270</v>
          </cell>
          <cell r="D82" t="str">
            <v>30</v>
          </cell>
          <cell r="E82" t="str">
            <v>011</v>
          </cell>
          <cell r="F82" t="str">
            <v>Servicio Social</v>
          </cell>
          <cell r="G82">
            <v>0</v>
          </cell>
          <cell r="H82">
            <v>0</v>
          </cell>
        </row>
        <row r="87">
          <cell r="B87">
            <v>280</v>
          </cell>
          <cell r="F87" t="str">
            <v>Otros Servicios Generales</v>
          </cell>
        </row>
        <row r="88">
          <cell r="C88">
            <v>280</v>
          </cell>
          <cell r="D88" t="str">
            <v>30</v>
          </cell>
          <cell r="E88" t="str">
            <v>011</v>
          </cell>
          <cell r="F88" t="str">
            <v>Otros Servicios Generales</v>
          </cell>
          <cell r="G88">
            <v>0</v>
          </cell>
          <cell r="H88">
            <v>0</v>
          </cell>
        </row>
        <row r="91">
          <cell r="B91">
            <v>290</v>
          </cell>
          <cell r="F91" t="str">
            <v>Servicios de Capacitación y Adiestramiento</v>
          </cell>
        </row>
        <row r="92">
          <cell r="C92">
            <v>290</v>
          </cell>
          <cell r="D92" t="str">
            <v>30</v>
          </cell>
          <cell r="E92" t="str">
            <v>011</v>
          </cell>
          <cell r="F92" t="str">
            <v>Servicios de Capacitación y Adiestramiento</v>
          </cell>
          <cell r="G92">
            <v>0</v>
          </cell>
          <cell r="H92">
            <v>0</v>
          </cell>
        </row>
        <row r="95">
          <cell r="A95">
            <v>300</v>
          </cell>
          <cell r="F95" t="str">
            <v>BIENES DE CONSUMO E INSUMOS</v>
          </cell>
        </row>
        <row r="96">
          <cell r="B96">
            <v>310</v>
          </cell>
          <cell r="F96" t="str">
            <v>Productos  Alimenticios</v>
          </cell>
        </row>
        <row r="100">
          <cell r="B100">
            <v>320</v>
          </cell>
          <cell r="F100" t="str">
            <v>Textiles y Vestuarios</v>
          </cell>
        </row>
        <row r="104">
          <cell r="B104">
            <v>330</v>
          </cell>
          <cell r="F104" t="str">
            <v>Productos de Papel, Cartón e Impresos</v>
          </cell>
        </row>
        <row r="105">
          <cell r="C105">
            <v>330</v>
          </cell>
          <cell r="D105" t="str">
            <v>30</v>
          </cell>
          <cell r="E105" t="str">
            <v>011</v>
          </cell>
          <cell r="F105" t="str">
            <v>Productos de Papel, Cartón e Impresos</v>
          </cell>
          <cell r="G105">
            <v>0</v>
          </cell>
          <cell r="H105">
            <v>0</v>
          </cell>
        </row>
        <row r="110">
          <cell r="B110">
            <v>340</v>
          </cell>
          <cell r="F110" t="str">
            <v>Bienes de Consumo de Oficina e Insumos</v>
          </cell>
        </row>
        <row r="111">
          <cell r="C111">
            <v>340</v>
          </cell>
          <cell r="D111" t="str">
            <v>30</v>
          </cell>
          <cell r="E111" t="str">
            <v>011</v>
          </cell>
          <cell r="F111" t="str">
            <v>Bienes de Consumo de Oficina e Insumos</v>
          </cell>
          <cell r="G111">
            <v>0</v>
          </cell>
          <cell r="H111">
            <v>0</v>
          </cell>
        </row>
        <row r="116">
          <cell r="B116">
            <v>350</v>
          </cell>
          <cell r="F116" t="str">
            <v>Productos e Instrumentales Químic. y Medicinales</v>
          </cell>
        </row>
        <row r="120">
          <cell r="B120">
            <v>360</v>
          </cell>
          <cell r="F120" t="str">
            <v>Combustibles y Lubricantes</v>
          </cell>
        </row>
        <row r="121">
          <cell r="C121">
            <v>360</v>
          </cell>
          <cell r="D121" t="str">
            <v>30</v>
          </cell>
          <cell r="E121" t="str">
            <v>011</v>
          </cell>
          <cell r="F121" t="str">
            <v>Combustibles y Lubricantes</v>
          </cell>
          <cell r="G121">
            <v>132054906</v>
          </cell>
        </row>
        <row r="126">
          <cell r="B126">
            <v>390</v>
          </cell>
          <cell r="F126" t="str">
            <v>Otros Bienes de Consumo</v>
          </cell>
        </row>
        <row r="127">
          <cell r="C127">
            <v>390</v>
          </cell>
          <cell r="D127" t="str">
            <v>30</v>
          </cell>
          <cell r="E127" t="str">
            <v>011</v>
          </cell>
          <cell r="F127" t="str">
            <v>Otros Bienes de Consumo</v>
          </cell>
          <cell r="G127">
            <v>0</v>
          </cell>
          <cell r="H127">
            <v>0</v>
          </cell>
        </row>
        <row r="132">
          <cell r="A132">
            <v>700</v>
          </cell>
          <cell r="F132" t="str">
            <v>SERVICIO DE LA DEUDA PÚBLICA</v>
          </cell>
        </row>
        <row r="133">
          <cell r="B133">
            <v>710</v>
          </cell>
          <cell r="F133" t="str">
            <v>Interes De la Deuda Pública Interna</v>
          </cell>
        </row>
        <row r="134">
          <cell r="C134">
            <v>713</v>
          </cell>
          <cell r="F134" t="str">
            <v>Interes de la Deuda con el Sector Privado</v>
          </cell>
        </row>
        <row r="137">
          <cell r="A137">
            <v>800</v>
          </cell>
          <cell r="F137" t="str">
            <v>TRANSFERENCIAS</v>
          </cell>
        </row>
        <row r="138">
          <cell r="B138">
            <v>810</v>
          </cell>
          <cell r="F138" t="str">
            <v>Transferencias Corrientes al Sector Público</v>
          </cell>
        </row>
        <row r="139">
          <cell r="C139">
            <v>814</v>
          </cell>
          <cell r="F139" t="str">
            <v>Transf. Consolidables por Coparticipación Juegos de Azar</v>
          </cell>
        </row>
        <row r="144">
          <cell r="B144">
            <v>830</v>
          </cell>
          <cell r="F144" t="str">
            <v>Otras transferencias Corrientes al sector público o privado</v>
          </cell>
        </row>
        <row r="145">
          <cell r="C145">
            <v>831</v>
          </cell>
          <cell r="F145" t="str">
            <v>Otras Transf. a Ent. con fines Soc. o de Emergencia Nacional</v>
          </cell>
        </row>
        <row r="148">
          <cell r="C148">
            <v>833</v>
          </cell>
          <cell r="F148" t="str">
            <v>Transferencias a Municipalidades</v>
          </cell>
        </row>
        <row r="151">
          <cell r="C151">
            <v>834</v>
          </cell>
          <cell r="F151" t="str">
            <v>Otras Transf.al Sector Público</v>
          </cell>
        </row>
        <row r="156">
          <cell r="B156">
            <v>840</v>
          </cell>
          <cell r="F156" t="str">
            <v>Transferencias Corrientes  al  sector Privado, Varias</v>
          </cell>
        </row>
        <row r="157">
          <cell r="C157">
            <v>841</v>
          </cell>
          <cell r="F157" t="str">
            <v>Becas</v>
          </cell>
        </row>
        <row r="161">
          <cell r="C161">
            <v>842</v>
          </cell>
          <cell r="F161" t="str">
            <v>Aportes a Entidades Educ. e Instituciones s/ fines de lucro</v>
          </cell>
        </row>
        <row r="176">
          <cell r="C176">
            <v>846</v>
          </cell>
          <cell r="F176" t="str">
            <v>Subsidio y Asistencia Social a Personas y Familias del Sector Privado</v>
          </cell>
        </row>
        <row r="181">
          <cell r="C181">
            <v>848</v>
          </cell>
          <cell r="F181" t="str">
            <v>Transferencias para Complemento Nutricional en  las Escuelas Públicas</v>
          </cell>
        </row>
        <row r="185">
          <cell r="A185">
            <v>900</v>
          </cell>
          <cell r="F185" t="str">
            <v>OTROS GASTOS</v>
          </cell>
        </row>
        <row r="186">
          <cell r="B186">
            <v>910</v>
          </cell>
          <cell r="F186" t="str">
            <v>Pagos de Imp. Tasas y Gastos Judicial.</v>
          </cell>
        </row>
        <row r="187">
          <cell r="C187">
            <v>910</v>
          </cell>
          <cell r="D187" t="str">
            <v>30</v>
          </cell>
          <cell r="E187" t="str">
            <v>011</v>
          </cell>
          <cell r="F187" t="str">
            <v>Pagos de Impuestos, Tasas y Gastos Judiciales</v>
          </cell>
          <cell r="G187">
            <v>0</v>
          </cell>
          <cell r="H187">
            <v>0</v>
          </cell>
        </row>
        <row r="190">
          <cell r="B190">
            <v>920</v>
          </cell>
          <cell r="F190" t="str">
            <v>Devol. de Imp. y otros Ing. no Tributario</v>
          </cell>
        </row>
        <row r="193">
          <cell r="B193">
            <v>960</v>
          </cell>
          <cell r="F193" t="str">
            <v>Deudas Pend.de Pago de Ejerc. Anterior</v>
          </cell>
        </row>
        <row r="194">
          <cell r="C194">
            <v>960</v>
          </cell>
          <cell r="D194" t="str">
            <v>30</v>
          </cell>
          <cell r="E194" t="str">
            <v>011</v>
          </cell>
          <cell r="F194" t="str">
            <v>Deudas Pendientes de Pagos de Ejercicios Anteriores</v>
          </cell>
          <cell r="G194">
            <v>0</v>
          </cell>
          <cell r="H194">
            <v>0</v>
          </cell>
        </row>
        <row r="197">
          <cell r="B197">
            <v>990</v>
          </cell>
          <cell r="F197" t="str">
            <v>Gastos Imprevistos</v>
          </cell>
        </row>
        <row r="200">
          <cell r="F200" t="str">
            <v>GASTOS DE CAPITAL</v>
          </cell>
        </row>
        <row r="201">
          <cell r="A201">
            <v>400</v>
          </cell>
          <cell r="F201" t="str">
            <v>BIENES DE CAMBIO</v>
          </cell>
        </row>
        <row r="202">
          <cell r="B202">
            <v>410</v>
          </cell>
          <cell r="F202" t="str">
            <v>Bienes e Insumos del Sector Agropecuario y Forestal</v>
          </cell>
        </row>
        <row r="203">
          <cell r="C203">
            <v>410</v>
          </cell>
          <cell r="D203" t="str">
            <v>30</v>
          </cell>
          <cell r="E203" t="str">
            <v>011</v>
          </cell>
          <cell r="F203" t="str">
            <v>Bienes e Insumos del Sector Agropecuario y Forestal</v>
          </cell>
          <cell r="G203">
            <v>0</v>
          </cell>
          <cell r="H203">
            <v>0</v>
          </cell>
        </row>
        <row r="206">
          <cell r="B206">
            <v>420</v>
          </cell>
          <cell r="F206" t="str">
            <v>Minerales</v>
          </cell>
        </row>
        <row r="207">
          <cell r="C207">
            <v>420</v>
          </cell>
          <cell r="D207" t="str">
            <v>30</v>
          </cell>
          <cell r="E207" t="str">
            <v>011</v>
          </cell>
          <cell r="F207" t="str">
            <v>Minerales</v>
          </cell>
          <cell r="G207">
            <v>0</v>
          </cell>
          <cell r="H207">
            <v>0</v>
          </cell>
        </row>
        <row r="210">
          <cell r="A210">
            <v>500</v>
          </cell>
          <cell r="F210" t="str">
            <v>INVERSIÓN FÍSICA</v>
          </cell>
        </row>
        <row r="211">
          <cell r="B211">
            <v>510</v>
          </cell>
          <cell r="F211" t="str">
            <v>Adquisición de Inmuebles</v>
          </cell>
        </row>
        <row r="212">
          <cell r="C212">
            <v>510</v>
          </cell>
          <cell r="D212" t="str">
            <v>30</v>
          </cell>
          <cell r="E212" t="str">
            <v>011</v>
          </cell>
          <cell r="F212" t="str">
            <v>Adquisición de Inmuebles</v>
          </cell>
          <cell r="G212">
            <v>0</v>
          </cell>
          <cell r="H212">
            <v>0</v>
          </cell>
        </row>
        <row r="215">
          <cell r="B215">
            <v>520</v>
          </cell>
          <cell r="F215" t="str">
            <v>Construcciones</v>
          </cell>
        </row>
        <row r="216">
          <cell r="C216">
            <v>520</v>
          </cell>
          <cell r="D216" t="str">
            <v>30</v>
          </cell>
          <cell r="E216" t="str">
            <v>011</v>
          </cell>
          <cell r="F216" t="str">
            <v>Construcciones</v>
          </cell>
          <cell r="G216">
            <v>750000000</v>
          </cell>
          <cell r="H216">
            <v>-50000000</v>
          </cell>
        </row>
        <row r="221">
          <cell r="B221">
            <v>530</v>
          </cell>
          <cell r="F221" t="str">
            <v>Adquisición de Maquinarias, Equipos y Herramientas Mayores</v>
          </cell>
        </row>
        <row r="222">
          <cell r="C222">
            <v>530</v>
          </cell>
          <cell r="D222" t="str">
            <v>30</v>
          </cell>
          <cell r="E222" t="str">
            <v>011</v>
          </cell>
          <cell r="F222" t="str">
            <v>Adquisición de Maq., Equipos y Herramientas Mayores</v>
          </cell>
          <cell r="G222">
            <v>150000000</v>
          </cell>
          <cell r="H222">
            <v>0</v>
          </cell>
        </row>
        <row r="227">
          <cell r="B227">
            <v>540</v>
          </cell>
          <cell r="F227" t="str">
            <v>Adquisición de Equipos de Oficina y Computación</v>
          </cell>
        </row>
        <row r="228">
          <cell r="C228">
            <v>540</v>
          </cell>
          <cell r="D228" t="str">
            <v>30</v>
          </cell>
          <cell r="E228" t="str">
            <v>011</v>
          </cell>
          <cell r="F228" t="str">
            <v>Adquisición de Equipos de Oficina y Computación</v>
          </cell>
          <cell r="G228">
            <v>21117072</v>
          </cell>
          <cell r="H228">
            <v>0</v>
          </cell>
        </row>
        <row r="233">
          <cell r="B233">
            <v>570</v>
          </cell>
          <cell r="F233" t="str">
            <v>Adquisición de Activos Intangibles</v>
          </cell>
        </row>
        <row r="234">
          <cell r="C234">
            <v>570</v>
          </cell>
          <cell r="D234" t="str">
            <v>30</v>
          </cell>
          <cell r="E234" t="str">
            <v>011</v>
          </cell>
          <cell r="F234" t="str">
            <v>Adquisición de Activos Intangibles</v>
          </cell>
          <cell r="G234">
            <v>0</v>
          </cell>
          <cell r="H234">
            <v>0</v>
          </cell>
        </row>
        <row r="237">
          <cell r="B237">
            <v>580</v>
          </cell>
          <cell r="F237" t="str">
            <v>Estudios de Proyectos de Inversión</v>
          </cell>
        </row>
        <row r="238">
          <cell r="C238">
            <v>580</v>
          </cell>
          <cell r="D238" t="str">
            <v>30</v>
          </cell>
          <cell r="E238" t="str">
            <v>011</v>
          </cell>
          <cell r="F238" t="str">
            <v>Estudios de Proyectos de Inversión</v>
          </cell>
          <cell r="G238">
            <v>54548248</v>
          </cell>
          <cell r="H238">
            <v>0</v>
          </cell>
        </row>
        <row r="240">
          <cell r="B240">
            <v>590</v>
          </cell>
          <cell r="F240" t="str">
            <v>Otros Gastos de Inversiones Mayores</v>
          </cell>
        </row>
        <row r="241">
          <cell r="C241">
            <v>590</v>
          </cell>
          <cell r="D241" t="str">
            <v>30</v>
          </cell>
          <cell r="E241" t="str">
            <v>011</v>
          </cell>
          <cell r="F241" t="str">
            <v>Otros Gastos de Inversiones  y Reparaciones Mayores</v>
          </cell>
          <cell r="G241">
            <v>0</v>
          </cell>
          <cell r="H241">
            <v>0</v>
          </cell>
        </row>
        <row r="244">
          <cell r="A244">
            <v>700</v>
          </cell>
          <cell r="F244" t="str">
            <v>SERVICIO DE LA DEUDA PÚBLICA</v>
          </cell>
        </row>
        <row r="245">
          <cell r="B245">
            <v>730</v>
          </cell>
          <cell r="F245" t="str">
            <v>Amortización de la Deuda Pública Interna</v>
          </cell>
        </row>
        <row r="246">
          <cell r="C246">
            <v>733</v>
          </cell>
          <cell r="F246" t="str">
            <v>Amortización de la Deuda con el Sector Privado</v>
          </cell>
        </row>
        <row r="249">
          <cell r="A249">
            <v>800</v>
          </cell>
          <cell r="F249" t="str">
            <v>TRANSFERENCIAS</v>
          </cell>
        </row>
        <row r="250">
          <cell r="B250">
            <v>870</v>
          </cell>
          <cell r="F250" t="str">
            <v>Transferencias de Capital al Sector Privado</v>
          </cell>
        </row>
        <row r="251">
          <cell r="C251">
            <v>871</v>
          </cell>
          <cell r="F251" t="str">
            <v>Transferencias de Capital al Sector Privado, Varias</v>
          </cell>
        </row>
        <row r="252">
          <cell r="C252">
            <v>871</v>
          </cell>
          <cell r="D252" t="str">
            <v>30</v>
          </cell>
          <cell r="E252" t="str">
            <v>011</v>
          </cell>
          <cell r="F252" t="str">
            <v>Transferencias de Capital al Sector Privado</v>
          </cell>
          <cell r="G252">
            <v>0</v>
          </cell>
          <cell r="H252">
            <v>0</v>
          </cell>
        </row>
        <row r="253">
          <cell r="C253">
            <v>871</v>
          </cell>
          <cell r="D253" t="str">
            <v>30</v>
          </cell>
          <cell r="E253" t="str">
            <v>011</v>
          </cell>
          <cell r="F253" t="str">
            <v>Juntas Comunales y Vecinales</v>
          </cell>
          <cell r="G253">
            <v>0</v>
          </cell>
          <cell r="H253">
            <v>0</v>
          </cell>
        </row>
        <row r="257">
          <cell r="B257">
            <v>890</v>
          </cell>
          <cell r="F257" t="str">
            <v>Otras Transferencias de Capital al Sector Público o Privado</v>
          </cell>
        </row>
        <row r="258">
          <cell r="C258">
            <v>894</v>
          </cell>
          <cell r="D258" t="str">
            <v>30</v>
          </cell>
          <cell r="E258" t="str">
            <v>011</v>
          </cell>
          <cell r="F258" t="str">
            <v>Otras Transferencias de Capital al Sector Público</v>
          </cell>
          <cell r="G258">
            <v>0</v>
          </cell>
          <cell r="H258">
            <v>0</v>
          </cell>
        </row>
        <row r="260">
          <cell r="A260">
            <v>900</v>
          </cell>
          <cell r="F260" t="str">
            <v>OTROS GASTOS</v>
          </cell>
        </row>
        <row r="261">
          <cell r="B261">
            <v>980</v>
          </cell>
          <cell r="F261" t="str">
            <v>Deudas Pend. de Pago de Gastos de Capital de Ejerc. Anter.</v>
          </cell>
        </row>
        <row r="262">
          <cell r="C262">
            <v>980</v>
          </cell>
          <cell r="D262" t="str">
            <v>30</v>
          </cell>
          <cell r="E262" t="str">
            <v>011</v>
          </cell>
          <cell r="F262" t="str">
            <v>Deudas Pend. de Pago de Gastos de Capital de Ejercicios Anter.</v>
          </cell>
          <cell r="G262">
            <v>168000000</v>
          </cell>
          <cell r="H262">
            <v>-78285121</v>
          </cell>
        </row>
      </sheetData>
      <sheetData sheetId="4">
        <row r="30">
          <cell r="H30">
            <v>0</v>
          </cell>
          <cell r="N30">
            <v>0</v>
          </cell>
        </row>
        <row r="34">
          <cell r="H34">
            <v>0</v>
          </cell>
          <cell r="N34">
            <v>0</v>
          </cell>
        </row>
        <row r="38">
          <cell r="H38">
            <v>0</v>
          </cell>
          <cell r="N38">
            <v>0</v>
          </cell>
        </row>
        <row r="43">
          <cell r="H43">
            <v>0</v>
          </cell>
          <cell r="N43">
            <v>0</v>
          </cell>
        </row>
        <row r="58">
          <cell r="H58">
            <v>0</v>
          </cell>
          <cell r="N58">
            <v>0</v>
          </cell>
        </row>
        <row r="64">
          <cell r="H64">
            <v>0</v>
          </cell>
          <cell r="N64">
            <v>0</v>
          </cell>
        </row>
        <row r="68">
          <cell r="H68">
            <v>0</v>
          </cell>
          <cell r="N68">
            <v>0</v>
          </cell>
        </row>
        <row r="73">
          <cell r="H73">
            <v>0</v>
          </cell>
          <cell r="N73">
            <v>0</v>
          </cell>
        </row>
        <row r="79">
          <cell r="H79">
            <v>0</v>
          </cell>
          <cell r="N79">
            <v>0</v>
          </cell>
        </row>
        <row r="83">
          <cell r="H83">
            <v>0</v>
          </cell>
          <cell r="N83">
            <v>0</v>
          </cell>
        </row>
        <row r="96">
          <cell r="H96">
            <v>0</v>
          </cell>
          <cell r="N96">
            <v>0</v>
          </cell>
        </row>
        <row r="102">
          <cell r="H102">
            <v>0</v>
          </cell>
          <cell r="N102">
            <v>0</v>
          </cell>
        </row>
        <row r="112">
          <cell r="H112">
            <v>0</v>
          </cell>
          <cell r="N112">
            <v>0</v>
          </cell>
        </row>
        <row r="118">
          <cell r="H118">
            <v>0</v>
          </cell>
          <cell r="N118">
            <v>0</v>
          </cell>
        </row>
        <row r="177">
          <cell r="H177">
            <v>0</v>
          </cell>
          <cell r="N177">
            <v>0</v>
          </cell>
        </row>
        <row r="184">
          <cell r="H184">
            <v>0</v>
          </cell>
          <cell r="N184">
            <v>0</v>
          </cell>
        </row>
        <row r="202">
          <cell r="H202">
            <v>0</v>
          </cell>
          <cell r="N202">
            <v>0</v>
          </cell>
        </row>
        <row r="206">
          <cell r="H206">
            <v>0</v>
          </cell>
          <cell r="N206">
            <v>0</v>
          </cell>
        </row>
        <row r="212">
          <cell r="H212">
            <v>0</v>
          </cell>
          <cell r="N212">
            <v>0</v>
          </cell>
        </row>
        <row r="218">
          <cell r="H218">
            <v>0</v>
          </cell>
          <cell r="N218">
            <v>0</v>
          </cell>
        </row>
        <row r="224">
          <cell r="H224">
            <v>0</v>
          </cell>
          <cell r="N224">
            <v>0</v>
          </cell>
        </row>
        <row r="228">
          <cell r="H228">
            <v>0</v>
          </cell>
          <cell r="N228">
            <v>0</v>
          </cell>
        </row>
        <row r="231">
          <cell r="H231">
            <v>0</v>
          </cell>
          <cell r="N231">
            <v>0</v>
          </cell>
        </row>
        <row r="242">
          <cell r="H242">
            <v>0</v>
          </cell>
          <cell r="N242">
            <v>0</v>
          </cell>
        </row>
        <row r="243">
          <cell r="H243">
            <v>0</v>
          </cell>
          <cell r="N243">
            <v>0</v>
          </cell>
        </row>
        <row r="248">
          <cell r="H248">
            <v>0</v>
          </cell>
          <cell r="N248">
            <v>0</v>
          </cell>
        </row>
        <row r="252">
          <cell r="H252">
            <v>0</v>
          </cell>
          <cell r="N252">
            <v>0</v>
          </cell>
        </row>
        <row r="288">
          <cell r="H288">
            <v>0</v>
          </cell>
          <cell r="N288">
            <v>0</v>
          </cell>
        </row>
        <row r="292">
          <cell r="H292">
            <v>0</v>
          </cell>
          <cell r="N292">
            <v>0</v>
          </cell>
        </row>
        <row r="296">
          <cell r="H296">
            <v>2340000</v>
          </cell>
          <cell r="N296">
            <v>0</v>
          </cell>
        </row>
        <row r="301">
          <cell r="H301">
            <v>2263333</v>
          </cell>
          <cell r="N301">
            <v>0</v>
          </cell>
        </row>
        <row r="316">
          <cell r="H316">
            <v>0</v>
          </cell>
          <cell r="N316">
            <v>0</v>
          </cell>
        </row>
        <row r="322">
          <cell r="H322">
            <v>0</v>
          </cell>
          <cell r="N322">
            <v>0</v>
          </cell>
        </row>
        <row r="326">
          <cell r="H326">
            <v>0</v>
          </cell>
          <cell r="N326">
            <v>0</v>
          </cell>
        </row>
        <row r="331">
          <cell r="H331">
            <v>0</v>
          </cell>
          <cell r="N331">
            <v>0</v>
          </cell>
        </row>
        <row r="337">
          <cell r="H337">
            <v>0</v>
          </cell>
          <cell r="N337">
            <v>0</v>
          </cell>
        </row>
        <row r="341">
          <cell r="H341">
            <v>0</v>
          </cell>
          <cell r="N341">
            <v>0</v>
          </cell>
        </row>
        <row r="354">
          <cell r="H354">
            <v>0</v>
          </cell>
          <cell r="N354">
            <v>0</v>
          </cell>
        </row>
        <row r="360">
          <cell r="H360">
            <v>0</v>
          </cell>
          <cell r="N360">
            <v>0</v>
          </cell>
        </row>
        <row r="370">
          <cell r="H370">
            <v>0</v>
          </cell>
          <cell r="N370">
            <v>0</v>
          </cell>
        </row>
        <row r="376">
          <cell r="H376">
            <v>0</v>
          </cell>
          <cell r="N376">
            <v>0</v>
          </cell>
        </row>
        <row r="435">
          <cell r="H435">
            <v>0</v>
          </cell>
          <cell r="N435">
            <v>0</v>
          </cell>
        </row>
        <row r="442">
          <cell r="H442">
            <v>0</v>
          </cell>
          <cell r="N442">
            <v>0</v>
          </cell>
        </row>
        <row r="460">
          <cell r="H460">
            <v>0</v>
          </cell>
          <cell r="N460">
            <v>0</v>
          </cell>
        </row>
        <row r="464">
          <cell r="H464">
            <v>0</v>
          </cell>
          <cell r="N464">
            <v>0</v>
          </cell>
        </row>
        <row r="470">
          <cell r="H470">
            <v>0</v>
          </cell>
          <cell r="N470">
            <v>0</v>
          </cell>
        </row>
        <row r="476">
          <cell r="H476">
            <v>0</v>
          </cell>
          <cell r="N476">
            <v>0</v>
          </cell>
        </row>
        <row r="482">
          <cell r="H482">
            <v>0</v>
          </cell>
          <cell r="N482">
            <v>0</v>
          </cell>
        </row>
        <row r="486">
          <cell r="H486">
            <v>0</v>
          </cell>
          <cell r="N486">
            <v>0</v>
          </cell>
        </row>
        <row r="489">
          <cell r="H489">
            <v>0</v>
          </cell>
          <cell r="N489">
            <v>0</v>
          </cell>
        </row>
        <row r="500">
          <cell r="H500">
            <v>0</v>
          </cell>
          <cell r="N500">
            <v>0</v>
          </cell>
        </row>
        <row r="501">
          <cell r="H501">
            <v>0</v>
          </cell>
          <cell r="N501">
            <v>0</v>
          </cell>
        </row>
        <row r="506">
          <cell r="H506">
            <v>0</v>
          </cell>
          <cell r="N506">
            <v>0</v>
          </cell>
        </row>
        <row r="510">
          <cell r="H510">
            <v>0</v>
          </cell>
          <cell r="N510">
            <v>0</v>
          </cell>
        </row>
        <row r="547">
          <cell r="H547">
            <v>0</v>
          </cell>
          <cell r="N547">
            <v>0</v>
          </cell>
        </row>
        <row r="551">
          <cell r="H551">
            <v>6500000</v>
          </cell>
          <cell r="N551">
            <v>0</v>
          </cell>
        </row>
        <row r="555">
          <cell r="H555">
            <v>0</v>
          </cell>
          <cell r="N555">
            <v>0</v>
          </cell>
        </row>
        <row r="560">
          <cell r="H560">
            <v>0</v>
          </cell>
          <cell r="N560">
            <v>0</v>
          </cell>
        </row>
        <row r="575">
          <cell r="H575">
            <v>0</v>
          </cell>
          <cell r="N575">
            <v>0</v>
          </cell>
        </row>
        <row r="581">
          <cell r="H581">
            <v>0</v>
          </cell>
          <cell r="N581">
            <v>0</v>
          </cell>
        </row>
        <row r="585">
          <cell r="H585">
            <v>0</v>
          </cell>
          <cell r="N585">
            <v>0</v>
          </cell>
        </row>
        <row r="590">
          <cell r="H590">
            <v>0</v>
          </cell>
          <cell r="N590">
            <v>0</v>
          </cell>
        </row>
        <row r="596">
          <cell r="H596">
            <v>0</v>
          </cell>
          <cell r="N596">
            <v>0</v>
          </cell>
        </row>
        <row r="600">
          <cell r="H600">
            <v>0</v>
          </cell>
          <cell r="N600">
            <v>0</v>
          </cell>
        </row>
        <row r="613">
          <cell r="H613">
            <v>0</v>
          </cell>
          <cell r="N613">
            <v>0</v>
          </cell>
        </row>
        <row r="619">
          <cell r="H619">
            <v>0</v>
          </cell>
          <cell r="N619">
            <v>0</v>
          </cell>
        </row>
        <row r="629">
          <cell r="H629">
            <v>0</v>
          </cell>
          <cell r="N629">
            <v>0</v>
          </cell>
        </row>
        <row r="635">
          <cell r="H635">
            <v>0</v>
          </cell>
          <cell r="N635">
            <v>0</v>
          </cell>
        </row>
        <row r="694">
          <cell r="H694">
            <v>0</v>
          </cell>
          <cell r="N694">
            <v>0</v>
          </cell>
        </row>
        <row r="701">
          <cell r="H701">
            <v>0</v>
          </cell>
          <cell r="N701">
            <v>0</v>
          </cell>
        </row>
        <row r="719">
          <cell r="H719">
            <v>0</v>
          </cell>
          <cell r="N719">
            <v>0</v>
          </cell>
        </row>
        <row r="723">
          <cell r="H723">
            <v>0</v>
          </cell>
          <cell r="N723">
            <v>0</v>
          </cell>
        </row>
        <row r="729">
          <cell r="H729">
            <v>0</v>
          </cell>
          <cell r="N729">
            <v>0</v>
          </cell>
        </row>
        <row r="735">
          <cell r="H735">
            <v>0</v>
          </cell>
          <cell r="N735">
            <v>0</v>
          </cell>
        </row>
        <row r="741">
          <cell r="H741">
            <v>0</v>
          </cell>
          <cell r="N741">
            <v>0</v>
          </cell>
        </row>
        <row r="745">
          <cell r="H745">
            <v>0</v>
          </cell>
          <cell r="N745">
            <v>0</v>
          </cell>
        </row>
        <row r="748">
          <cell r="H748">
            <v>0</v>
          </cell>
          <cell r="N748">
            <v>0</v>
          </cell>
        </row>
        <row r="759">
          <cell r="H759">
            <v>0</v>
          </cell>
          <cell r="N759">
            <v>0</v>
          </cell>
        </row>
        <row r="760">
          <cell r="H760">
            <v>0</v>
          </cell>
          <cell r="N760">
            <v>0</v>
          </cell>
        </row>
        <row r="765">
          <cell r="H765">
            <v>0</v>
          </cell>
          <cell r="N765">
            <v>0</v>
          </cell>
        </row>
        <row r="769">
          <cell r="H769">
            <v>0</v>
          </cell>
          <cell r="N769">
            <v>0</v>
          </cell>
        </row>
        <row r="810">
          <cell r="N810">
            <v>0</v>
          </cell>
        </row>
        <row r="814">
          <cell r="N814">
            <v>0</v>
          </cell>
        </row>
        <row r="818">
          <cell r="N818">
            <v>0</v>
          </cell>
        </row>
        <row r="823">
          <cell r="N823">
            <v>0</v>
          </cell>
        </row>
        <row r="838">
          <cell r="N838">
            <v>0</v>
          </cell>
        </row>
        <row r="844">
          <cell r="N844">
            <v>0</v>
          </cell>
        </row>
        <row r="848">
          <cell r="N848">
            <v>0</v>
          </cell>
        </row>
        <row r="853">
          <cell r="N853">
            <v>0</v>
          </cell>
        </row>
        <row r="859">
          <cell r="N859">
            <v>0</v>
          </cell>
        </row>
        <row r="863">
          <cell r="N863">
            <v>0</v>
          </cell>
        </row>
        <row r="876">
          <cell r="N876">
            <v>0</v>
          </cell>
        </row>
        <row r="882">
          <cell r="N882">
            <v>0</v>
          </cell>
        </row>
        <row r="892">
          <cell r="N892">
            <v>0</v>
          </cell>
        </row>
        <row r="898">
          <cell r="N898">
            <v>0</v>
          </cell>
        </row>
        <row r="957">
          <cell r="N957">
            <v>0</v>
          </cell>
        </row>
        <row r="964">
          <cell r="N964">
            <v>0</v>
          </cell>
        </row>
        <row r="982">
          <cell r="N982">
            <v>0</v>
          </cell>
        </row>
        <row r="986">
          <cell r="N986">
            <v>0</v>
          </cell>
        </row>
        <row r="992">
          <cell r="N992">
            <v>0</v>
          </cell>
        </row>
        <row r="998">
          <cell r="N998">
            <v>0</v>
          </cell>
        </row>
        <row r="1004">
          <cell r="N1004">
            <v>0</v>
          </cell>
        </row>
        <row r="1008">
          <cell r="N1008">
            <v>0</v>
          </cell>
        </row>
        <row r="1011">
          <cell r="N1011">
            <v>0</v>
          </cell>
        </row>
        <row r="1022">
          <cell r="N1022">
            <v>0</v>
          </cell>
        </row>
        <row r="1023">
          <cell r="N1023">
            <v>0</v>
          </cell>
        </row>
        <row r="1028">
          <cell r="N1028">
            <v>0</v>
          </cell>
        </row>
        <row r="1032">
          <cell r="N1032">
            <v>0</v>
          </cell>
        </row>
        <row r="1071">
          <cell r="H1071">
            <v>0</v>
          </cell>
          <cell r="N1071">
            <v>0</v>
          </cell>
        </row>
        <row r="1075">
          <cell r="H1075">
            <v>0</v>
          </cell>
          <cell r="N1075">
            <v>0</v>
          </cell>
        </row>
        <row r="1079">
          <cell r="H1079">
            <v>0</v>
          </cell>
          <cell r="N1079">
            <v>0</v>
          </cell>
        </row>
        <row r="1084">
          <cell r="H1084">
            <v>0</v>
          </cell>
          <cell r="N1084">
            <v>0</v>
          </cell>
        </row>
        <row r="1099">
          <cell r="H1099">
            <v>0</v>
          </cell>
          <cell r="N1099">
            <v>0</v>
          </cell>
        </row>
        <row r="1105">
          <cell r="H1105">
            <v>0</v>
          </cell>
          <cell r="N1105">
            <v>0</v>
          </cell>
        </row>
        <row r="1109">
          <cell r="H1109">
            <v>0</v>
          </cell>
          <cell r="N1109">
            <v>0</v>
          </cell>
        </row>
        <row r="1114">
          <cell r="H1114">
            <v>0</v>
          </cell>
          <cell r="N1114">
            <v>0</v>
          </cell>
        </row>
        <row r="1120">
          <cell r="H1120">
            <v>0</v>
          </cell>
          <cell r="N1120">
            <v>0</v>
          </cell>
        </row>
        <row r="1124">
          <cell r="H1124">
            <v>0</v>
          </cell>
          <cell r="N1124">
            <v>0</v>
          </cell>
        </row>
        <row r="1137">
          <cell r="H1137">
            <v>0</v>
          </cell>
          <cell r="N1137">
            <v>0</v>
          </cell>
        </row>
        <row r="1143">
          <cell r="H1143">
            <v>0</v>
          </cell>
          <cell r="N1143">
            <v>0</v>
          </cell>
        </row>
        <row r="1153">
          <cell r="H1153">
            <v>0</v>
          </cell>
          <cell r="N1153">
            <v>0</v>
          </cell>
        </row>
        <row r="1159">
          <cell r="H1159">
            <v>0</v>
          </cell>
          <cell r="N1159">
            <v>0</v>
          </cell>
        </row>
        <row r="1218">
          <cell r="H1218">
            <v>0</v>
          </cell>
          <cell r="N1218">
            <v>0</v>
          </cell>
        </row>
        <row r="1225">
          <cell r="H1225">
            <v>0</v>
          </cell>
          <cell r="N1225">
            <v>0</v>
          </cell>
        </row>
        <row r="1243">
          <cell r="H1243">
            <v>0</v>
          </cell>
          <cell r="N1243">
            <v>0</v>
          </cell>
        </row>
        <row r="1247">
          <cell r="H1247">
            <v>0</v>
          </cell>
          <cell r="N1247">
            <v>0</v>
          </cell>
        </row>
        <row r="1253">
          <cell r="H1253">
            <v>0</v>
          </cell>
          <cell r="N1253">
            <v>0</v>
          </cell>
        </row>
        <row r="1259">
          <cell r="H1259">
            <v>0</v>
          </cell>
          <cell r="N1259">
            <v>0</v>
          </cell>
        </row>
        <row r="1265">
          <cell r="H1265">
            <v>0</v>
          </cell>
          <cell r="N1265">
            <v>0</v>
          </cell>
        </row>
        <row r="1269">
          <cell r="H1269">
            <v>0</v>
          </cell>
          <cell r="N1269">
            <v>0</v>
          </cell>
        </row>
        <row r="1272">
          <cell r="H1272">
            <v>0</v>
          </cell>
          <cell r="N1272">
            <v>0</v>
          </cell>
        </row>
        <row r="1283">
          <cell r="H1283">
            <v>0</v>
          </cell>
          <cell r="N1283">
            <v>0</v>
          </cell>
        </row>
        <row r="1284">
          <cell r="H1284">
            <v>0</v>
          </cell>
          <cell r="N1284">
            <v>0</v>
          </cell>
        </row>
        <row r="1289">
          <cell r="H1289">
            <v>0</v>
          </cell>
          <cell r="N1289">
            <v>0</v>
          </cell>
        </row>
        <row r="1293">
          <cell r="H1293">
            <v>0</v>
          </cell>
          <cell r="N1293">
            <v>0</v>
          </cell>
        </row>
        <row r="1333">
          <cell r="H1333">
            <v>0</v>
          </cell>
          <cell r="N1333">
            <v>0</v>
          </cell>
        </row>
        <row r="1337">
          <cell r="H1337">
            <v>0</v>
          </cell>
          <cell r="N1337">
            <v>0</v>
          </cell>
        </row>
        <row r="1341">
          <cell r="H1341">
            <v>0</v>
          </cell>
          <cell r="N1341">
            <v>0</v>
          </cell>
        </row>
        <row r="1346">
          <cell r="H1346">
            <v>0</v>
          </cell>
          <cell r="N1346">
            <v>0</v>
          </cell>
        </row>
        <row r="1361">
          <cell r="H1361">
            <v>0</v>
          </cell>
          <cell r="N1361">
            <v>0</v>
          </cell>
        </row>
        <row r="1367">
          <cell r="H1367">
            <v>0</v>
          </cell>
          <cell r="N1367">
            <v>0</v>
          </cell>
        </row>
        <row r="1371">
          <cell r="H1371">
            <v>0</v>
          </cell>
          <cell r="N1371">
            <v>0</v>
          </cell>
        </row>
        <row r="1376">
          <cell r="H1376">
            <v>0</v>
          </cell>
          <cell r="N1376">
            <v>0</v>
          </cell>
        </row>
        <row r="1382">
          <cell r="H1382">
            <v>0</v>
          </cell>
          <cell r="N1382">
            <v>0</v>
          </cell>
        </row>
        <row r="1386">
          <cell r="H1386">
            <v>0</v>
          </cell>
          <cell r="N1386">
            <v>0</v>
          </cell>
        </row>
        <row r="1399">
          <cell r="H1399">
            <v>0</v>
          </cell>
          <cell r="N1399">
            <v>0</v>
          </cell>
        </row>
        <row r="1405">
          <cell r="H1405">
            <v>0</v>
          </cell>
          <cell r="N1405">
            <v>0</v>
          </cell>
        </row>
        <row r="1415">
          <cell r="H1415">
            <v>0</v>
          </cell>
          <cell r="N1415">
            <v>0</v>
          </cell>
        </row>
        <row r="1421">
          <cell r="H1421">
            <v>0</v>
          </cell>
          <cell r="N1421">
            <v>0</v>
          </cell>
        </row>
        <row r="1480">
          <cell r="H1480">
            <v>0</v>
          </cell>
          <cell r="N1480">
            <v>0</v>
          </cell>
        </row>
        <row r="1487">
          <cell r="H1487">
            <v>0</v>
          </cell>
          <cell r="N1487">
            <v>0</v>
          </cell>
        </row>
        <row r="1505">
          <cell r="H1505">
            <v>0</v>
          </cell>
          <cell r="N1505">
            <v>0</v>
          </cell>
        </row>
        <row r="1509">
          <cell r="H1509">
            <v>0</v>
          </cell>
          <cell r="N1509">
            <v>0</v>
          </cell>
        </row>
        <row r="1515">
          <cell r="H1515">
            <v>0</v>
          </cell>
          <cell r="N1515">
            <v>0</v>
          </cell>
        </row>
        <row r="1521">
          <cell r="H1521">
            <v>0</v>
          </cell>
          <cell r="N1521">
            <v>0</v>
          </cell>
        </row>
        <row r="1527">
          <cell r="H1527">
            <v>0</v>
          </cell>
          <cell r="N1527">
            <v>0</v>
          </cell>
        </row>
        <row r="1531">
          <cell r="H1531">
            <v>0</v>
          </cell>
          <cell r="N1531">
            <v>0</v>
          </cell>
        </row>
        <row r="1534">
          <cell r="H1534">
            <v>0</v>
          </cell>
          <cell r="N1534">
            <v>0</v>
          </cell>
        </row>
        <row r="1545">
          <cell r="H1545">
            <v>0</v>
          </cell>
          <cell r="N1545">
            <v>0</v>
          </cell>
        </row>
        <row r="1546">
          <cell r="H1546">
            <v>0</v>
          </cell>
          <cell r="N1546">
            <v>0</v>
          </cell>
        </row>
        <row r="1551">
          <cell r="H1551">
            <v>0</v>
          </cell>
          <cell r="N1551">
            <v>0</v>
          </cell>
        </row>
        <row r="1555">
          <cell r="H1555">
            <v>0</v>
          </cell>
          <cell r="N1555">
            <v>0</v>
          </cell>
        </row>
        <row r="1596">
          <cell r="H1596">
            <v>0</v>
          </cell>
          <cell r="N1596">
            <v>0</v>
          </cell>
        </row>
        <row r="1600">
          <cell r="H1600">
            <v>0</v>
          </cell>
          <cell r="N1600">
            <v>0</v>
          </cell>
        </row>
        <row r="1604">
          <cell r="H1604">
            <v>0</v>
          </cell>
          <cell r="N1604">
            <v>0</v>
          </cell>
        </row>
        <row r="1609">
          <cell r="H1609">
            <v>0</v>
          </cell>
          <cell r="N1609">
            <v>0</v>
          </cell>
        </row>
        <row r="1624">
          <cell r="H1624">
            <v>0</v>
          </cell>
          <cell r="N1624">
            <v>0</v>
          </cell>
        </row>
        <row r="1630">
          <cell r="H1630">
            <v>0</v>
          </cell>
          <cell r="N1630">
            <v>0</v>
          </cell>
        </row>
        <row r="1634">
          <cell r="H1634">
            <v>0</v>
          </cell>
          <cell r="N1634">
            <v>0</v>
          </cell>
        </row>
        <row r="1639">
          <cell r="H1639">
            <v>0</v>
          </cell>
          <cell r="N1639">
            <v>0</v>
          </cell>
        </row>
        <row r="1645">
          <cell r="H1645">
            <v>0</v>
          </cell>
          <cell r="N1645">
            <v>0</v>
          </cell>
        </row>
        <row r="1649">
          <cell r="H1649">
            <v>0</v>
          </cell>
          <cell r="N1649">
            <v>0</v>
          </cell>
        </row>
        <row r="1662">
          <cell r="H1662">
            <v>0</v>
          </cell>
          <cell r="N1662">
            <v>0</v>
          </cell>
        </row>
        <row r="1668">
          <cell r="H1668">
            <v>0</v>
          </cell>
          <cell r="N1668">
            <v>0</v>
          </cell>
        </row>
        <row r="1678">
          <cell r="H1678">
            <v>0</v>
          </cell>
          <cell r="N1678">
            <v>0</v>
          </cell>
        </row>
        <row r="1684">
          <cell r="H1684">
            <v>0</v>
          </cell>
          <cell r="N1684">
            <v>0</v>
          </cell>
        </row>
        <row r="1743">
          <cell r="H1743">
            <v>0</v>
          </cell>
          <cell r="N1743">
            <v>0</v>
          </cell>
        </row>
        <row r="1750">
          <cell r="H1750">
            <v>0</v>
          </cell>
          <cell r="N1750">
            <v>0</v>
          </cell>
        </row>
        <row r="1768">
          <cell r="H1768">
            <v>0</v>
          </cell>
          <cell r="N1768">
            <v>0</v>
          </cell>
        </row>
        <row r="1772">
          <cell r="H1772">
            <v>0</v>
          </cell>
          <cell r="N1772">
            <v>0</v>
          </cell>
        </row>
        <row r="1778">
          <cell r="H1778">
            <v>0</v>
          </cell>
          <cell r="N1778">
            <v>0</v>
          </cell>
        </row>
        <row r="1784">
          <cell r="H1784">
            <v>0</v>
          </cell>
          <cell r="N1784">
            <v>0</v>
          </cell>
        </row>
        <row r="1790">
          <cell r="H1790">
            <v>0</v>
          </cell>
          <cell r="N1790">
            <v>0</v>
          </cell>
        </row>
        <row r="1794">
          <cell r="H1794">
            <v>0</v>
          </cell>
          <cell r="N1794">
            <v>0</v>
          </cell>
        </row>
        <row r="1797">
          <cell r="H1797">
            <v>0</v>
          </cell>
          <cell r="N1797">
            <v>0</v>
          </cell>
        </row>
        <row r="1808">
          <cell r="H1808">
            <v>0</v>
          </cell>
          <cell r="N1808">
            <v>0</v>
          </cell>
        </row>
        <row r="1809">
          <cell r="H1809">
            <v>0</v>
          </cell>
          <cell r="N1809">
            <v>0</v>
          </cell>
        </row>
        <row r="1814">
          <cell r="H1814">
            <v>0</v>
          </cell>
          <cell r="N1814">
            <v>0</v>
          </cell>
        </row>
        <row r="1818">
          <cell r="H1818">
            <v>0</v>
          </cell>
          <cell r="N1818">
            <v>0</v>
          </cell>
        </row>
        <row r="1857">
          <cell r="H1857">
            <v>0</v>
          </cell>
          <cell r="N1857">
            <v>0</v>
          </cell>
        </row>
        <row r="1861">
          <cell r="H1861">
            <v>0</v>
          </cell>
          <cell r="N1861">
            <v>0</v>
          </cell>
        </row>
        <row r="1865">
          <cell r="H1865">
            <v>0</v>
          </cell>
          <cell r="N1865">
            <v>0</v>
          </cell>
        </row>
        <row r="1870">
          <cell r="H1870">
            <v>0</v>
          </cell>
          <cell r="N1870">
            <v>0</v>
          </cell>
        </row>
        <row r="1885">
          <cell r="H1885">
            <v>0</v>
          </cell>
          <cell r="N1885">
            <v>0</v>
          </cell>
        </row>
        <row r="1891">
          <cell r="H1891">
            <v>0</v>
          </cell>
          <cell r="N1891">
            <v>0</v>
          </cell>
        </row>
        <row r="1895">
          <cell r="H1895">
            <v>0</v>
          </cell>
          <cell r="N1895">
            <v>0</v>
          </cell>
        </row>
        <row r="1900">
          <cell r="H1900">
            <v>0</v>
          </cell>
          <cell r="N1900">
            <v>0</v>
          </cell>
        </row>
        <row r="1906">
          <cell r="H1906">
            <v>0</v>
          </cell>
          <cell r="N1906">
            <v>0</v>
          </cell>
        </row>
        <row r="1910">
          <cell r="H1910">
            <v>0</v>
          </cell>
          <cell r="N1910">
            <v>0</v>
          </cell>
        </row>
        <row r="1923">
          <cell r="H1923">
            <v>0</v>
          </cell>
          <cell r="N1923">
            <v>0</v>
          </cell>
        </row>
        <row r="1929">
          <cell r="H1929">
            <v>0</v>
          </cell>
          <cell r="N1929">
            <v>0</v>
          </cell>
        </row>
        <row r="1939">
          <cell r="H1939">
            <v>0</v>
          </cell>
          <cell r="N1939">
            <v>0</v>
          </cell>
        </row>
        <row r="1945">
          <cell r="H1945">
            <v>0</v>
          </cell>
          <cell r="N1945">
            <v>0</v>
          </cell>
        </row>
        <row r="2004">
          <cell r="H2004">
            <v>0</v>
          </cell>
          <cell r="N2004">
            <v>0</v>
          </cell>
        </row>
        <row r="2011">
          <cell r="H2011">
            <v>0</v>
          </cell>
          <cell r="N2011">
            <v>0</v>
          </cell>
        </row>
        <row r="2029">
          <cell r="H2029">
            <v>0</v>
          </cell>
          <cell r="N2029">
            <v>0</v>
          </cell>
        </row>
        <row r="2033">
          <cell r="H2033">
            <v>0</v>
          </cell>
          <cell r="N2033">
            <v>0</v>
          </cell>
        </row>
        <row r="2039">
          <cell r="H2039">
            <v>0</v>
          </cell>
          <cell r="N2039">
            <v>0</v>
          </cell>
        </row>
        <row r="2045">
          <cell r="H2045">
            <v>0</v>
          </cell>
          <cell r="N2045">
            <v>0</v>
          </cell>
        </row>
        <row r="2051">
          <cell r="H2051">
            <v>0</v>
          </cell>
          <cell r="N2051">
            <v>0</v>
          </cell>
        </row>
        <row r="2055">
          <cell r="H2055">
            <v>0</v>
          </cell>
          <cell r="N2055">
            <v>0</v>
          </cell>
        </row>
        <row r="2058">
          <cell r="H2058">
            <v>0</v>
          </cell>
          <cell r="N2058">
            <v>0</v>
          </cell>
        </row>
        <row r="2069">
          <cell r="H2069">
            <v>0</v>
          </cell>
          <cell r="N2069">
            <v>0</v>
          </cell>
        </row>
        <row r="2070">
          <cell r="H2070">
            <v>0</v>
          </cell>
          <cell r="N2070">
            <v>0</v>
          </cell>
        </row>
        <row r="2075">
          <cell r="H2075">
            <v>0</v>
          </cell>
          <cell r="N2075">
            <v>0</v>
          </cell>
        </row>
        <row r="2079">
          <cell r="H2079">
            <v>0</v>
          </cell>
          <cell r="N2079">
            <v>0</v>
          </cell>
        </row>
        <row r="2116">
          <cell r="H2116">
            <v>0</v>
          </cell>
          <cell r="N2116">
            <v>0</v>
          </cell>
        </row>
        <row r="2120">
          <cell r="H2120">
            <v>0</v>
          </cell>
          <cell r="N2120">
            <v>0</v>
          </cell>
        </row>
        <row r="2124">
          <cell r="H2124">
            <v>0</v>
          </cell>
          <cell r="N2124">
            <v>0</v>
          </cell>
        </row>
        <row r="2129">
          <cell r="H2129">
            <v>0</v>
          </cell>
          <cell r="N2129">
            <v>0</v>
          </cell>
        </row>
        <row r="2144">
          <cell r="H2144">
            <v>0</v>
          </cell>
          <cell r="N2144">
            <v>0</v>
          </cell>
        </row>
        <row r="2150">
          <cell r="H2150">
            <v>0</v>
          </cell>
          <cell r="N2150">
            <v>0</v>
          </cell>
        </row>
        <row r="2154">
          <cell r="H2154">
            <v>0</v>
          </cell>
          <cell r="N2154">
            <v>0</v>
          </cell>
        </row>
        <row r="2159">
          <cell r="H2159">
            <v>0</v>
          </cell>
          <cell r="N2159">
            <v>0</v>
          </cell>
        </row>
        <row r="2165">
          <cell r="H2165">
            <v>0</v>
          </cell>
          <cell r="N2165">
            <v>0</v>
          </cell>
        </row>
        <row r="2169">
          <cell r="H2169">
            <v>0</v>
          </cell>
          <cell r="N2169">
            <v>0</v>
          </cell>
        </row>
        <row r="2182">
          <cell r="H2182">
            <v>0</v>
          </cell>
          <cell r="N2182">
            <v>0</v>
          </cell>
        </row>
        <row r="2188">
          <cell r="H2188">
            <v>0</v>
          </cell>
          <cell r="N2188">
            <v>0</v>
          </cell>
        </row>
        <row r="2198">
          <cell r="H2198">
            <v>0</v>
          </cell>
          <cell r="N2198">
            <v>0</v>
          </cell>
        </row>
        <row r="2204">
          <cell r="H2204">
            <v>0</v>
          </cell>
          <cell r="N2204">
            <v>0</v>
          </cell>
        </row>
        <row r="2263">
          <cell r="H2263">
            <v>0</v>
          </cell>
          <cell r="N2263">
            <v>0</v>
          </cell>
        </row>
        <row r="2270">
          <cell r="H2270">
            <v>0</v>
          </cell>
          <cell r="N2270">
            <v>0</v>
          </cell>
        </row>
        <row r="2288">
          <cell r="H2288">
            <v>0</v>
          </cell>
          <cell r="N2288">
            <v>0</v>
          </cell>
        </row>
        <row r="2292">
          <cell r="H2292">
            <v>0</v>
          </cell>
          <cell r="N2292">
            <v>0</v>
          </cell>
        </row>
        <row r="2298">
          <cell r="H2298">
            <v>0</v>
          </cell>
          <cell r="N2298">
            <v>0</v>
          </cell>
        </row>
        <row r="2304">
          <cell r="H2304">
            <v>0</v>
          </cell>
          <cell r="N2304">
            <v>0</v>
          </cell>
        </row>
        <row r="2310">
          <cell r="H2310">
            <v>0</v>
          </cell>
          <cell r="N2310">
            <v>0</v>
          </cell>
        </row>
        <row r="2314">
          <cell r="H2314">
            <v>0</v>
          </cell>
          <cell r="N2314">
            <v>0</v>
          </cell>
        </row>
        <row r="2317">
          <cell r="H2317">
            <v>0</v>
          </cell>
          <cell r="N2317">
            <v>0</v>
          </cell>
        </row>
        <row r="2328">
          <cell r="H2328">
            <v>0</v>
          </cell>
          <cell r="N2328">
            <v>0</v>
          </cell>
        </row>
        <row r="2329">
          <cell r="H2329">
            <v>0</v>
          </cell>
          <cell r="N2329">
            <v>0</v>
          </cell>
        </row>
        <row r="2334">
          <cell r="H2334">
            <v>0</v>
          </cell>
          <cell r="N2334">
            <v>0</v>
          </cell>
        </row>
        <row r="2338">
          <cell r="H2338">
            <v>0</v>
          </cell>
          <cell r="N2338">
            <v>0</v>
          </cell>
        </row>
        <row r="2378">
          <cell r="H2378">
            <v>0</v>
          </cell>
          <cell r="N2378">
            <v>0</v>
          </cell>
        </row>
        <row r="2382">
          <cell r="H2382">
            <v>0</v>
          </cell>
          <cell r="N2382">
            <v>0</v>
          </cell>
        </row>
        <row r="2386">
          <cell r="H2386">
            <v>0</v>
          </cell>
          <cell r="N2386">
            <v>0</v>
          </cell>
        </row>
        <row r="2391">
          <cell r="H2391">
            <v>0</v>
          </cell>
          <cell r="N2391">
            <v>0</v>
          </cell>
        </row>
        <row r="2406">
          <cell r="H2406">
            <v>0</v>
          </cell>
          <cell r="N2406">
            <v>0</v>
          </cell>
        </row>
        <row r="2412">
          <cell r="H2412">
            <v>0</v>
          </cell>
          <cell r="N2412">
            <v>0</v>
          </cell>
        </row>
        <row r="2416">
          <cell r="H2416">
            <v>0</v>
          </cell>
          <cell r="N2416">
            <v>0</v>
          </cell>
        </row>
        <row r="2421">
          <cell r="H2421">
            <v>0</v>
          </cell>
          <cell r="N2421">
            <v>0</v>
          </cell>
        </row>
        <row r="2427">
          <cell r="H2427">
            <v>0</v>
          </cell>
          <cell r="N2427">
            <v>0</v>
          </cell>
        </row>
        <row r="2431">
          <cell r="H2431">
            <v>0</v>
          </cell>
          <cell r="N2431">
            <v>0</v>
          </cell>
        </row>
        <row r="2444">
          <cell r="H2444">
            <v>0</v>
          </cell>
          <cell r="N2444">
            <v>0</v>
          </cell>
        </row>
        <row r="2450">
          <cell r="H2450">
            <v>0</v>
          </cell>
          <cell r="N2450">
            <v>0</v>
          </cell>
        </row>
        <row r="2460">
          <cell r="H2460">
            <v>0</v>
          </cell>
          <cell r="N2460">
            <v>0</v>
          </cell>
        </row>
        <row r="2466">
          <cell r="H2466">
            <v>0</v>
          </cell>
          <cell r="N2466">
            <v>0</v>
          </cell>
        </row>
        <row r="2525">
          <cell r="H2525">
            <v>0</v>
          </cell>
          <cell r="N2525">
            <v>0</v>
          </cell>
        </row>
        <row r="2532">
          <cell r="H2532">
            <v>0</v>
          </cell>
          <cell r="N2532">
            <v>0</v>
          </cell>
        </row>
        <row r="2550">
          <cell r="H2550">
            <v>0</v>
          </cell>
          <cell r="N2550">
            <v>0</v>
          </cell>
        </row>
        <row r="2554">
          <cell r="H2554">
            <v>0</v>
          </cell>
          <cell r="N2554">
            <v>0</v>
          </cell>
        </row>
        <row r="2560">
          <cell r="H2560">
            <v>0</v>
          </cell>
          <cell r="N2560">
            <v>0</v>
          </cell>
        </row>
        <row r="2566">
          <cell r="H2566">
            <v>0</v>
          </cell>
          <cell r="N2566">
            <v>0</v>
          </cell>
        </row>
        <row r="2572">
          <cell r="H2572">
            <v>0</v>
          </cell>
          <cell r="N2572">
            <v>0</v>
          </cell>
        </row>
        <row r="2576">
          <cell r="H2576">
            <v>0</v>
          </cell>
          <cell r="N2576">
            <v>0</v>
          </cell>
        </row>
        <row r="2579">
          <cell r="H2579">
            <v>0</v>
          </cell>
          <cell r="N2579">
            <v>0</v>
          </cell>
        </row>
        <row r="2590">
          <cell r="H2590">
            <v>0</v>
          </cell>
          <cell r="N2590">
            <v>0</v>
          </cell>
        </row>
        <row r="2591">
          <cell r="H2591">
            <v>0</v>
          </cell>
          <cell r="N2591">
            <v>0</v>
          </cell>
        </row>
        <row r="2596">
          <cell r="H2596">
            <v>0</v>
          </cell>
          <cell r="N2596">
            <v>0</v>
          </cell>
        </row>
        <row r="2600">
          <cell r="H2600">
            <v>0</v>
          </cell>
          <cell r="N2600">
            <v>0</v>
          </cell>
        </row>
        <row r="2640">
          <cell r="H2640">
            <v>0</v>
          </cell>
          <cell r="N2640">
            <v>0</v>
          </cell>
        </row>
        <row r="2644">
          <cell r="H2644">
            <v>0</v>
          </cell>
          <cell r="N2644">
            <v>0</v>
          </cell>
        </row>
        <row r="2648">
          <cell r="H2648">
            <v>0</v>
          </cell>
          <cell r="N2648">
            <v>0</v>
          </cell>
        </row>
        <row r="2653">
          <cell r="H2653">
            <v>0</v>
          </cell>
          <cell r="N2653">
            <v>0</v>
          </cell>
        </row>
        <row r="2668">
          <cell r="H2668">
            <v>0</v>
          </cell>
          <cell r="N2668">
            <v>0</v>
          </cell>
        </row>
        <row r="2674">
          <cell r="H2674">
            <v>0</v>
          </cell>
          <cell r="N2674">
            <v>0</v>
          </cell>
        </row>
        <row r="2678">
          <cell r="H2678">
            <v>0</v>
          </cell>
          <cell r="N2678">
            <v>0</v>
          </cell>
        </row>
        <row r="2683">
          <cell r="H2683">
            <v>0</v>
          </cell>
          <cell r="N2683">
            <v>0</v>
          </cell>
        </row>
        <row r="2689">
          <cell r="H2689">
            <v>0</v>
          </cell>
          <cell r="N2689">
            <v>0</v>
          </cell>
        </row>
        <row r="2693">
          <cell r="H2693">
            <v>0</v>
          </cell>
          <cell r="N2693">
            <v>0</v>
          </cell>
        </row>
        <row r="2706">
          <cell r="H2706">
            <v>0</v>
          </cell>
          <cell r="N2706">
            <v>0</v>
          </cell>
        </row>
        <row r="2712">
          <cell r="H2712">
            <v>0</v>
          </cell>
          <cell r="N2712">
            <v>0</v>
          </cell>
        </row>
        <row r="2722">
          <cell r="H2722">
            <v>0</v>
          </cell>
          <cell r="N2722">
            <v>0</v>
          </cell>
        </row>
        <row r="2728">
          <cell r="H2728">
            <v>0</v>
          </cell>
          <cell r="N2728">
            <v>0</v>
          </cell>
        </row>
        <row r="2787">
          <cell r="H2787">
            <v>0</v>
          </cell>
          <cell r="N2787">
            <v>0</v>
          </cell>
        </row>
        <row r="2794">
          <cell r="H2794">
            <v>0</v>
          </cell>
          <cell r="N2794">
            <v>0</v>
          </cell>
        </row>
        <row r="2812">
          <cell r="H2812">
            <v>0</v>
          </cell>
          <cell r="N2812">
            <v>0</v>
          </cell>
        </row>
        <row r="2816">
          <cell r="H2816">
            <v>0</v>
          </cell>
          <cell r="N2816">
            <v>0</v>
          </cell>
        </row>
        <row r="2822">
          <cell r="H2822">
            <v>0</v>
          </cell>
          <cell r="N2822">
            <v>0</v>
          </cell>
        </row>
        <row r="2828">
          <cell r="H2828">
            <v>0</v>
          </cell>
          <cell r="N2828">
            <v>0</v>
          </cell>
        </row>
        <row r="2834">
          <cell r="H2834">
            <v>0</v>
          </cell>
          <cell r="N2834">
            <v>0</v>
          </cell>
        </row>
        <row r="2838">
          <cell r="H2838">
            <v>0</v>
          </cell>
          <cell r="N2838">
            <v>0</v>
          </cell>
        </row>
        <row r="2841">
          <cell r="H2841">
            <v>0</v>
          </cell>
          <cell r="N2841">
            <v>0</v>
          </cell>
        </row>
        <row r="2852">
          <cell r="H2852">
            <v>0</v>
          </cell>
          <cell r="N2852">
            <v>0</v>
          </cell>
        </row>
        <row r="2853">
          <cell r="H2853">
            <v>0</v>
          </cell>
          <cell r="N2853">
            <v>0</v>
          </cell>
        </row>
        <row r="2858">
          <cell r="H2858">
            <v>0</v>
          </cell>
          <cell r="N2858">
            <v>0</v>
          </cell>
        </row>
        <row r="2862">
          <cell r="H2862">
            <v>0</v>
          </cell>
          <cell r="N2862">
            <v>0</v>
          </cell>
        </row>
        <row r="2903">
          <cell r="H2903">
            <v>0</v>
          </cell>
          <cell r="N2903">
            <v>0</v>
          </cell>
        </row>
        <row r="2907">
          <cell r="H2907">
            <v>0</v>
          </cell>
          <cell r="N2907">
            <v>0</v>
          </cell>
        </row>
        <row r="2911">
          <cell r="H2911">
            <v>0</v>
          </cell>
          <cell r="N2911">
            <v>0</v>
          </cell>
        </row>
        <row r="2916">
          <cell r="H2916">
            <v>0</v>
          </cell>
          <cell r="N2916">
            <v>0</v>
          </cell>
        </row>
        <row r="2931">
          <cell r="H2931">
            <v>0</v>
          </cell>
          <cell r="N2931">
            <v>0</v>
          </cell>
        </row>
        <row r="2937">
          <cell r="H2937">
            <v>0</v>
          </cell>
          <cell r="N2937">
            <v>0</v>
          </cell>
        </row>
        <row r="2941">
          <cell r="H2941">
            <v>0</v>
          </cell>
          <cell r="N2941">
            <v>0</v>
          </cell>
        </row>
        <row r="2946">
          <cell r="H2946">
            <v>0</v>
          </cell>
          <cell r="N2946">
            <v>0</v>
          </cell>
        </row>
        <row r="2952">
          <cell r="H2952">
            <v>0</v>
          </cell>
          <cell r="N2952">
            <v>0</v>
          </cell>
        </row>
        <row r="2956">
          <cell r="H2956">
            <v>0</v>
          </cell>
          <cell r="N2956">
            <v>0</v>
          </cell>
        </row>
        <row r="2969">
          <cell r="H2969">
            <v>0</v>
          </cell>
          <cell r="N2969">
            <v>0</v>
          </cell>
        </row>
        <row r="2975">
          <cell r="H2975">
            <v>0</v>
          </cell>
          <cell r="N2975">
            <v>0</v>
          </cell>
        </row>
        <row r="2985">
          <cell r="H2985">
            <v>0</v>
          </cell>
          <cell r="N2985">
            <v>0</v>
          </cell>
        </row>
        <row r="2991">
          <cell r="H2991">
            <v>0</v>
          </cell>
          <cell r="N2991">
            <v>0</v>
          </cell>
        </row>
        <row r="3051">
          <cell r="H3051">
            <v>0</v>
          </cell>
          <cell r="N3051">
            <v>0</v>
          </cell>
        </row>
        <row r="3058">
          <cell r="H3058">
            <v>0</v>
          </cell>
          <cell r="N3058">
            <v>0</v>
          </cell>
        </row>
        <row r="3076">
          <cell r="H3076">
            <v>0</v>
          </cell>
          <cell r="N3076">
            <v>0</v>
          </cell>
        </row>
        <row r="3080">
          <cell r="H3080">
            <v>0</v>
          </cell>
          <cell r="N3080">
            <v>0</v>
          </cell>
        </row>
        <row r="3086">
          <cell r="H3086">
            <v>0</v>
          </cell>
          <cell r="N3086">
            <v>0</v>
          </cell>
        </row>
        <row r="3092">
          <cell r="H3092">
            <v>0</v>
          </cell>
          <cell r="N3092">
            <v>0</v>
          </cell>
        </row>
        <row r="3098">
          <cell r="H3098">
            <v>0</v>
          </cell>
          <cell r="N3098">
            <v>0</v>
          </cell>
        </row>
        <row r="3102">
          <cell r="H3102">
            <v>0</v>
          </cell>
          <cell r="N3102">
            <v>0</v>
          </cell>
        </row>
        <row r="3105">
          <cell r="H3105">
            <v>0</v>
          </cell>
          <cell r="N3105">
            <v>0</v>
          </cell>
        </row>
        <row r="3116">
          <cell r="H3116">
            <v>0</v>
          </cell>
          <cell r="N3116">
            <v>0</v>
          </cell>
        </row>
        <row r="3117">
          <cell r="H3117">
            <v>0</v>
          </cell>
          <cell r="N3117">
            <v>0</v>
          </cell>
        </row>
        <row r="3122">
          <cell r="H3122">
            <v>0</v>
          </cell>
          <cell r="N3122">
            <v>0</v>
          </cell>
        </row>
        <row r="3126">
          <cell r="H3126">
            <v>0</v>
          </cell>
          <cell r="N31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Fundición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Z273"/>
  <sheetViews>
    <sheetView zoomScalePageLayoutView="0" workbookViewId="0" topLeftCell="B15">
      <pane xSplit="5220" ySplit="1020" topLeftCell="A263" activePane="bottomRight" state="split"/>
      <selection pane="topLeft" activeCell="S15" sqref="S1:S16384"/>
      <selection pane="topRight" activeCell="Y15" sqref="Y1:Z16384"/>
      <selection pane="bottomLeft" activeCell="F270" sqref="F270"/>
      <selection pane="bottomRight" activeCell="N265" sqref="N265"/>
    </sheetView>
  </sheetViews>
  <sheetFormatPr defaultColWidth="11.421875" defaultRowHeight="12.75"/>
  <cols>
    <col min="1" max="1" width="5.00390625" style="65" customWidth="1"/>
    <col min="2" max="2" width="4.8515625" style="73" bestFit="1" customWidth="1"/>
    <col min="3" max="3" width="5.7109375" style="65" bestFit="1" customWidth="1"/>
    <col min="4" max="4" width="3.8515625" style="65" bestFit="1" customWidth="1"/>
    <col min="5" max="5" width="4.140625" style="65" bestFit="1" customWidth="1"/>
    <col min="6" max="6" width="28.28125" style="65" customWidth="1"/>
    <col min="7" max="7" width="12.421875" style="65" customWidth="1"/>
    <col min="8" max="8" width="11.00390625" style="65" customWidth="1"/>
    <col min="9" max="9" width="12.57421875" style="65" customWidth="1"/>
    <col min="10" max="13" width="10.8515625" style="65" hidden="1" customWidth="1"/>
    <col min="14" max="14" width="11.57421875" style="65" customWidth="1"/>
    <col min="15" max="18" width="10.8515625" style="65" customWidth="1"/>
    <col min="19" max="19" width="12.140625" style="65" customWidth="1"/>
    <col min="20" max="20" width="13.28125" style="65" customWidth="1"/>
    <col min="21" max="21" width="12.28125" style="65" bestFit="1" customWidth="1"/>
    <col min="22" max="22" width="12.57421875" style="65" customWidth="1"/>
    <col min="23" max="23" width="2.421875" style="65" customWidth="1"/>
    <col min="24" max="24" width="12.57421875" style="65" bestFit="1" customWidth="1"/>
    <col min="25" max="25" width="14.140625" style="300" hidden="1" customWidth="1"/>
    <col min="26" max="26" width="12.57421875" style="65" hidden="1" customWidth="1"/>
    <col min="27" max="16384" width="11.421875" style="65" customWidth="1"/>
  </cols>
  <sheetData>
    <row r="1" spans="1:25" s="11" customFormat="1" ht="12.75" hidden="1">
      <c r="A1" s="56"/>
      <c r="B1" s="56"/>
      <c r="C1" s="56"/>
      <c r="D1" s="56"/>
      <c r="E1" s="56"/>
      <c r="F1" s="71"/>
      <c r="Y1" s="297"/>
    </row>
    <row r="2" spans="1:25" s="12" customFormat="1" ht="12.75" hidden="1">
      <c r="A2" s="73"/>
      <c r="B2" s="73"/>
      <c r="C2" s="73"/>
      <c r="D2" s="73"/>
      <c r="E2" s="73"/>
      <c r="F2" s="74"/>
      <c r="Y2" s="297"/>
    </row>
    <row r="3" spans="1:25" s="12" customFormat="1" ht="34.5" hidden="1">
      <c r="A3" s="73"/>
      <c r="B3" s="73"/>
      <c r="C3" s="73"/>
      <c r="D3" s="73"/>
      <c r="E3" s="7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Y3" s="297"/>
    </row>
    <row r="4" spans="1:25" s="12" customFormat="1" ht="17.25" hidden="1">
      <c r="A4" s="73"/>
      <c r="B4" s="73"/>
      <c r="C4" s="73"/>
      <c r="D4" s="73"/>
      <c r="E4" s="73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Y4" s="297"/>
    </row>
    <row r="5" spans="1:25" s="12" customFormat="1" ht="17.25" hidden="1">
      <c r="A5" s="75"/>
      <c r="B5" s="232"/>
      <c r="C5" s="75"/>
      <c r="D5" s="75"/>
      <c r="E5" s="75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75"/>
      <c r="V5" s="75"/>
      <c r="W5" s="75"/>
      <c r="X5" s="75"/>
      <c r="Y5" s="298"/>
    </row>
    <row r="6" spans="1:25" s="12" customFormat="1" ht="12.75" hidden="1">
      <c r="A6" s="76"/>
      <c r="B6" s="233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299"/>
    </row>
    <row r="7" spans="1:25" s="79" customFormat="1" ht="11.25">
      <c r="A7" s="80"/>
      <c r="B7" s="234"/>
      <c r="C7" s="81"/>
      <c r="D7" s="81"/>
      <c r="E7" s="81"/>
      <c r="F7" s="81"/>
      <c r="G7" s="81"/>
      <c r="H7" s="81"/>
      <c r="I7" s="81"/>
      <c r="J7" s="81" t="s">
        <v>512</v>
      </c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2"/>
      <c r="Y7" s="300"/>
    </row>
    <row r="8" spans="1:25" s="250" customFormat="1" ht="24.75">
      <c r="A8" s="254" t="s">
        <v>286</v>
      </c>
      <c r="B8" s="255"/>
      <c r="C8" s="255"/>
      <c r="D8" s="255"/>
      <c r="E8" s="255"/>
      <c r="F8" s="255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2"/>
      <c r="V8" s="253"/>
      <c r="Y8" s="301"/>
    </row>
    <row r="9" spans="1:25" s="99" customFormat="1" ht="17.25">
      <c r="A9" s="166" t="s">
        <v>524</v>
      </c>
      <c r="B9" s="167"/>
      <c r="C9" s="167"/>
      <c r="D9" s="167"/>
      <c r="E9" s="167"/>
      <c r="F9" s="167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7"/>
      <c r="Y9" s="300"/>
    </row>
    <row r="10" spans="1:25" s="91" customFormat="1" ht="13.5">
      <c r="A10" s="85" t="s">
        <v>241</v>
      </c>
      <c r="B10" s="235"/>
      <c r="C10" s="86"/>
      <c r="D10" s="86"/>
      <c r="E10" s="87" t="s">
        <v>224</v>
      </c>
      <c r="F10" s="88">
        <v>30</v>
      </c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90"/>
      <c r="Y10" s="302"/>
    </row>
    <row r="11" spans="1:25" s="91" customFormat="1" ht="13.5">
      <c r="A11" s="85" t="s">
        <v>225</v>
      </c>
      <c r="B11" s="235"/>
      <c r="C11" s="86"/>
      <c r="D11" s="86"/>
      <c r="E11" s="87" t="s">
        <v>224</v>
      </c>
      <c r="F11" s="92" t="s">
        <v>505</v>
      </c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533"/>
      <c r="V11" s="534"/>
      <c r="Y11" s="302"/>
    </row>
    <row r="12" spans="1:25" s="91" customFormat="1" ht="13.5">
      <c r="A12" s="85" t="s">
        <v>226</v>
      </c>
      <c r="B12" s="235"/>
      <c r="C12" s="86"/>
      <c r="D12" s="86"/>
      <c r="E12" s="87" t="s">
        <v>224</v>
      </c>
      <c r="F12" s="86" t="s">
        <v>119</v>
      </c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4">
        <f>V17-FONACIDE!W14-GENUINO!W19-ROYALTIES!AC20</f>
        <v>0</v>
      </c>
      <c r="Y12" s="302"/>
    </row>
    <row r="13" spans="1:25" s="91" customFormat="1" ht="13.5">
      <c r="A13" s="85" t="s">
        <v>229</v>
      </c>
      <c r="B13" s="235"/>
      <c r="C13" s="86"/>
      <c r="D13" s="86"/>
      <c r="E13" s="87" t="s">
        <v>224</v>
      </c>
      <c r="F13" s="86" t="s">
        <v>242</v>
      </c>
      <c r="G13" s="295"/>
      <c r="H13" s="89"/>
      <c r="I13" s="295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535" t="s">
        <v>287</v>
      </c>
      <c r="V13" s="536"/>
      <c r="Y13" s="302"/>
    </row>
    <row r="14" spans="1:25" s="94" customFormat="1" ht="12.75">
      <c r="A14" s="95"/>
      <c r="B14" s="23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531"/>
      <c r="V14" s="532"/>
      <c r="Y14" s="303"/>
    </row>
    <row r="15" spans="1:25" s="63" customFormat="1" ht="12.75" customHeight="1">
      <c r="A15" s="528" t="s">
        <v>11</v>
      </c>
      <c r="B15" s="529"/>
      <c r="C15" s="529"/>
      <c r="D15" s="529"/>
      <c r="E15" s="530"/>
      <c r="F15" s="512" t="s">
        <v>12</v>
      </c>
      <c r="G15" s="514" t="s">
        <v>230</v>
      </c>
      <c r="H15" s="514" t="s">
        <v>280</v>
      </c>
      <c r="I15" s="514" t="s">
        <v>223</v>
      </c>
      <c r="J15" s="516" t="s">
        <v>322</v>
      </c>
      <c r="K15" s="517"/>
      <c r="L15" s="517"/>
      <c r="M15" s="517"/>
      <c r="N15" s="514" t="s">
        <v>566</v>
      </c>
      <c r="O15" s="519" t="s">
        <v>322</v>
      </c>
      <c r="P15" s="520"/>
      <c r="Q15" s="520"/>
      <c r="R15" s="521"/>
      <c r="S15" s="514" t="s">
        <v>244</v>
      </c>
      <c r="T15" s="525" t="s">
        <v>231</v>
      </c>
      <c r="U15" s="514" t="s">
        <v>245</v>
      </c>
      <c r="V15" s="514" t="s">
        <v>246</v>
      </c>
      <c r="Y15" s="304"/>
    </row>
    <row r="16" spans="1:22" ht="22.5">
      <c r="A16" s="44" t="s">
        <v>14</v>
      </c>
      <c r="B16" s="44" t="s">
        <v>296</v>
      </c>
      <c r="C16" s="44" t="s">
        <v>232</v>
      </c>
      <c r="D16" s="44" t="s">
        <v>15</v>
      </c>
      <c r="E16" s="44" t="s">
        <v>16</v>
      </c>
      <c r="F16" s="513"/>
      <c r="G16" s="515"/>
      <c r="H16" s="515"/>
      <c r="I16" s="515"/>
      <c r="J16" s="39">
        <v>40909</v>
      </c>
      <c r="K16" s="39">
        <v>40940</v>
      </c>
      <c r="L16" s="39">
        <v>40969</v>
      </c>
      <c r="M16" s="47">
        <v>41000</v>
      </c>
      <c r="N16" s="515"/>
      <c r="O16" s="39">
        <v>41030</v>
      </c>
      <c r="P16" s="39">
        <v>41061</v>
      </c>
      <c r="Q16" s="455" t="s">
        <v>514</v>
      </c>
      <c r="R16" s="455" t="s">
        <v>515</v>
      </c>
      <c r="S16" s="515"/>
      <c r="T16" s="526"/>
      <c r="U16" s="515"/>
      <c r="V16" s="515"/>
    </row>
    <row r="17" spans="1:25" s="98" customFormat="1" ht="15">
      <c r="A17" s="40"/>
      <c r="B17" s="40"/>
      <c r="C17" s="40"/>
      <c r="D17" s="40"/>
      <c r="E17" s="40"/>
      <c r="F17" s="40" t="s">
        <v>17</v>
      </c>
      <c r="G17" s="42">
        <f aca="true" t="shared" si="0" ref="G17:V17">G18+G197</f>
        <v>3822599423</v>
      </c>
      <c r="H17" s="42">
        <f t="shared" si="0"/>
        <v>233653978</v>
      </c>
      <c r="I17" s="42">
        <f t="shared" si="0"/>
        <v>4056253401</v>
      </c>
      <c r="J17" s="42">
        <f t="shared" si="0"/>
        <v>5000000</v>
      </c>
      <c r="K17" s="42">
        <f t="shared" si="0"/>
        <v>65712019</v>
      </c>
      <c r="L17" s="42">
        <f t="shared" si="0"/>
        <v>43263668</v>
      </c>
      <c r="M17" s="42">
        <f t="shared" si="0"/>
        <v>294506785</v>
      </c>
      <c r="N17" s="42">
        <f>+J17+K17+L17+M17</f>
        <v>408482472</v>
      </c>
      <c r="O17" s="42">
        <f t="shared" si="0"/>
        <v>213425217</v>
      </c>
      <c r="P17" s="42">
        <f t="shared" si="0"/>
        <v>179271541</v>
      </c>
      <c r="Q17" s="42">
        <f>Q18+Q197</f>
        <v>211672439</v>
      </c>
      <c r="R17" s="42">
        <f>R18+R197</f>
        <v>192488970</v>
      </c>
      <c r="S17" s="42">
        <f>S18+S197</f>
        <v>1205340639</v>
      </c>
      <c r="T17" s="53">
        <f t="shared" si="0"/>
        <v>2842032762</v>
      </c>
      <c r="U17" s="42">
        <f t="shared" si="0"/>
        <v>1204220639</v>
      </c>
      <c r="V17" s="42">
        <f t="shared" si="0"/>
        <v>0</v>
      </c>
      <c r="X17" s="237"/>
      <c r="Y17" s="300"/>
    </row>
    <row r="18" spans="1:25" s="98" customFormat="1" ht="15">
      <c r="A18" s="40"/>
      <c r="B18" s="40"/>
      <c r="C18" s="40"/>
      <c r="D18" s="40"/>
      <c r="E18" s="40"/>
      <c r="F18" s="46" t="s">
        <v>18</v>
      </c>
      <c r="G18" s="3">
        <f aca="true" t="shared" si="1" ref="G18:V18">G19+G53+G92+G134+G129+G182</f>
        <v>1836111217</v>
      </c>
      <c r="H18" s="3">
        <f t="shared" si="1"/>
        <v>145328545</v>
      </c>
      <c r="I18" s="3">
        <f t="shared" si="1"/>
        <v>1981439762</v>
      </c>
      <c r="J18" s="3">
        <f t="shared" si="1"/>
        <v>5000000</v>
      </c>
      <c r="K18" s="3">
        <f t="shared" si="1"/>
        <v>65712019</v>
      </c>
      <c r="L18" s="3">
        <f t="shared" si="1"/>
        <v>43263668</v>
      </c>
      <c r="M18" s="3">
        <f t="shared" si="1"/>
        <v>157506785</v>
      </c>
      <c r="N18" s="3">
        <f aca="true" t="shared" si="2" ref="N18:N81">+J18+K18+L18+M18</f>
        <v>271482472</v>
      </c>
      <c r="O18" s="3">
        <f t="shared" si="1"/>
        <v>213425217</v>
      </c>
      <c r="P18" s="3">
        <f t="shared" si="1"/>
        <v>179271541</v>
      </c>
      <c r="Q18" s="3">
        <f>Q19+Q53+Q92+Q134+Q129+Q182</f>
        <v>169986684</v>
      </c>
      <c r="R18" s="3">
        <f>R19+R53+R92+R134+R129+R182</f>
        <v>147329403</v>
      </c>
      <c r="S18" s="3">
        <f>S19+S53+S92+S134+S129+S182</f>
        <v>981495317</v>
      </c>
      <c r="T18" s="3">
        <f t="shared" si="1"/>
        <v>991064445</v>
      </c>
      <c r="U18" s="3">
        <f t="shared" si="1"/>
        <v>980375317</v>
      </c>
      <c r="V18" s="3">
        <f t="shared" si="1"/>
        <v>0</v>
      </c>
      <c r="Y18" s="300"/>
    </row>
    <row r="19" spans="1:25" s="98" customFormat="1" ht="11.25">
      <c r="A19" s="43">
        <v>100</v>
      </c>
      <c r="B19" s="43"/>
      <c r="C19" s="43"/>
      <c r="D19" s="43"/>
      <c r="E19" s="43"/>
      <c r="F19" s="13" t="s">
        <v>19</v>
      </c>
      <c r="G19" s="3">
        <f aca="true" t="shared" si="3" ref="G19:V19">G20+G26+G30+G38+G49</f>
        <v>909662654</v>
      </c>
      <c r="H19" s="3">
        <f t="shared" si="3"/>
        <v>-12429565</v>
      </c>
      <c r="I19" s="3">
        <f t="shared" si="3"/>
        <v>897233089</v>
      </c>
      <c r="J19" s="3">
        <f t="shared" si="3"/>
        <v>0</v>
      </c>
      <c r="K19" s="3">
        <f t="shared" si="3"/>
        <v>42567001</v>
      </c>
      <c r="L19" s="3">
        <f t="shared" si="3"/>
        <v>43263668</v>
      </c>
      <c r="M19" s="3">
        <f t="shared" si="3"/>
        <v>82334856</v>
      </c>
      <c r="N19" s="3">
        <f t="shared" si="2"/>
        <v>168165525</v>
      </c>
      <c r="O19" s="3">
        <f t="shared" si="3"/>
        <v>132987252</v>
      </c>
      <c r="P19" s="3">
        <f t="shared" si="3"/>
        <v>39230996</v>
      </c>
      <c r="Q19" s="3">
        <f>Q20+Q26+Q30+Q38+Q49</f>
        <v>94198797</v>
      </c>
      <c r="R19" s="3">
        <f>R20+R26+R30+R38+R49</f>
        <v>72623347</v>
      </c>
      <c r="S19" s="3">
        <f>S20+S26+S30+S38+S49</f>
        <v>507205917</v>
      </c>
      <c r="T19" s="6">
        <f t="shared" si="3"/>
        <v>390027172</v>
      </c>
      <c r="U19" s="3">
        <f t="shared" si="3"/>
        <v>507205917</v>
      </c>
      <c r="V19" s="3">
        <f t="shared" si="3"/>
        <v>0</v>
      </c>
      <c r="Y19" s="300">
        <v>375536484</v>
      </c>
    </row>
    <row r="20" spans="1:25" s="98" customFormat="1" ht="11.25">
      <c r="A20" s="43"/>
      <c r="B20" s="43">
        <v>110</v>
      </c>
      <c r="C20" s="43"/>
      <c r="D20" s="43"/>
      <c r="E20" s="43"/>
      <c r="F20" s="13" t="s">
        <v>20</v>
      </c>
      <c r="G20" s="3">
        <f>SUM(G21:G24)</f>
        <v>438382471</v>
      </c>
      <c r="H20" s="3">
        <f aca="true" t="shared" si="4" ref="H20:M20">SUM(H21:H24)</f>
        <v>-19458563</v>
      </c>
      <c r="I20" s="3">
        <f t="shared" si="4"/>
        <v>418923908</v>
      </c>
      <c r="J20" s="3">
        <f t="shared" si="4"/>
        <v>0</v>
      </c>
      <c r="K20" s="3">
        <f t="shared" si="4"/>
        <v>28285960</v>
      </c>
      <c r="L20" s="3">
        <f t="shared" si="4"/>
        <v>28285960</v>
      </c>
      <c r="M20" s="3">
        <f t="shared" si="4"/>
        <v>29737960</v>
      </c>
      <c r="N20" s="3">
        <f t="shared" si="2"/>
        <v>86309880</v>
      </c>
      <c r="O20" s="3">
        <f aca="true" t="shared" si="5" ref="O20:V20">SUM(O21:O24)</f>
        <v>52215920</v>
      </c>
      <c r="P20" s="3">
        <f t="shared" si="5"/>
        <v>0</v>
      </c>
      <c r="Q20" s="3">
        <f>SUM(Q21:Q24)</f>
        <v>41467901</v>
      </c>
      <c r="R20" s="3">
        <f>SUM(R21:R24)</f>
        <v>24823081</v>
      </c>
      <c r="S20" s="3">
        <f>SUM(S21:S24)</f>
        <v>204816782</v>
      </c>
      <c r="T20" s="6">
        <f t="shared" si="5"/>
        <v>214107126</v>
      </c>
      <c r="U20" s="3">
        <f t="shared" si="5"/>
        <v>204816782</v>
      </c>
      <c r="V20" s="3">
        <f t="shared" si="5"/>
        <v>0</v>
      </c>
      <c r="Y20" s="300">
        <v>129919333</v>
      </c>
    </row>
    <row r="21" spans="1:26" s="98" customFormat="1" ht="11.25">
      <c r="A21" s="100"/>
      <c r="B21" s="100"/>
      <c r="C21" s="100">
        <v>111</v>
      </c>
      <c r="D21" s="2" t="s">
        <v>77</v>
      </c>
      <c r="E21" s="2" t="s">
        <v>21</v>
      </c>
      <c r="F21" s="23" t="s">
        <v>22</v>
      </c>
      <c r="G21" s="5">
        <f>203449577+17961750</f>
        <v>221411327</v>
      </c>
      <c r="H21" s="5">
        <v>-17961750</v>
      </c>
      <c r="I21" s="5">
        <f>G21+H21</f>
        <v>203449577</v>
      </c>
      <c r="J21" s="5">
        <v>0</v>
      </c>
      <c r="K21" s="5">
        <v>12808960</v>
      </c>
      <c r="L21" s="5">
        <v>12808960</v>
      </c>
      <c r="M21" s="5">
        <v>12808960</v>
      </c>
      <c r="N21" s="5">
        <f t="shared" si="2"/>
        <v>38426880</v>
      </c>
      <c r="O21" s="5">
        <v>25617920</v>
      </c>
      <c r="P21" s="5">
        <v>0</v>
      </c>
      <c r="Q21" s="5">
        <f>+GENUINO!R23</f>
        <v>22129901</v>
      </c>
      <c r="R21" s="5">
        <f>+GENUINO!S23</f>
        <v>15154081</v>
      </c>
      <c r="S21" s="5">
        <f aca="true" t="shared" si="6" ref="S21:S81">+N21+O21+P21+Q21+R21</f>
        <v>101328782</v>
      </c>
      <c r="T21" s="7">
        <f>I21-S21</f>
        <v>102120795</v>
      </c>
      <c r="U21" s="5">
        <f>+I21-T21</f>
        <v>101328782</v>
      </c>
      <c r="V21" s="5">
        <f>+S21-U21</f>
        <v>0</v>
      </c>
      <c r="Y21" s="300">
        <f>+Y19+Y20</f>
        <v>505455817</v>
      </c>
      <c r="Z21" s="237">
        <f>+Y21-S19</f>
        <v>-1750100</v>
      </c>
    </row>
    <row r="22" spans="1:25" s="98" customFormat="1" ht="11.25">
      <c r="A22" s="100"/>
      <c r="B22" s="100"/>
      <c r="C22" s="100">
        <v>112</v>
      </c>
      <c r="D22" s="2" t="s">
        <v>77</v>
      </c>
      <c r="E22" s="2" t="s">
        <v>21</v>
      </c>
      <c r="F22" s="23" t="s">
        <v>23</v>
      </c>
      <c r="G22" s="5">
        <v>148327200</v>
      </c>
      <c r="H22" s="5">
        <v>0</v>
      </c>
      <c r="I22" s="5">
        <f>G22+H22</f>
        <v>148327200</v>
      </c>
      <c r="J22" s="5">
        <v>0</v>
      </c>
      <c r="K22" s="5">
        <v>11616000</v>
      </c>
      <c r="L22" s="5">
        <v>11616000</v>
      </c>
      <c r="M22" s="5">
        <v>13068000</v>
      </c>
      <c r="N22" s="5">
        <f t="shared" si="2"/>
        <v>36300000</v>
      </c>
      <c r="O22" s="5">
        <v>18876000</v>
      </c>
      <c r="P22" s="5">
        <v>0</v>
      </c>
      <c r="Q22" s="5">
        <f>+GENUINO!R24</f>
        <v>11616000</v>
      </c>
      <c r="R22" s="5">
        <f>+GENUINO!S24</f>
        <v>5808000</v>
      </c>
      <c r="S22" s="5">
        <f t="shared" si="6"/>
        <v>72600000</v>
      </c>
      <c r="T22" s="7">
        <f>I22-S22</f>
        <v>75727200</v>
      </c>
      <c r="U22" s="5">
        <f>+I22-T22</f>
        <v>72600000</v>
      </c>
      <c r="V22" s="5">
        <f>+S22-U22</f>
        <v>0</v>
      </c>
      <c r="Y22" s="300"/>
    </row>
    <row r="23" spans="1:25" s="98" customFormat="1" ht="11.25">
      <c r="A23" s="100"/>
      <c r="B23" s="100"/>
      <c r="C23" s="100">
        <v>113</v>
      </c>
      <c r="D23" s="2" t="s">
        <v>77</v>
      </c>
      <c r="E23" s="2" t="s">
        <v>21</v>
      </c>
      <c r="F23" s="23" t="s">
        <v>24</v>
      </c>
      <c r="G23" s="5">
        <v>46332000</v>
      </c>
      <c r="H23" s="5">
        <v>0</v>
      </c>
      <c r="I23" s="5">
        <f>G23+H23</f>
        <v>46332000</v>
      </c>
      <c r="J23" s="5">
        <v>0</v>
      </c>
      <c r="K23" s="5">
        <v>3861000</v>
      </c>
      <c r="L23" s="5">
        <v>3861000</v>
      </c>
      <c r="M23" s="5">
        <v>3861000</v>
      </c>
      <c r="N23" s="5">
        <f t="shared" si="2"/>
        <v>11583000</v>
      </c>
      <c r="O23" s="5">
        <v>7722000</v>
      </c>
      <c r="P23" s="5">
        <v>0</v>
      </c>
      <c r="Q23" s="5">
        <f>+GENUINO!R25</f>
        <v>7722000</v>
      </c>
      <c r="R23" s="5">
        <f>+GENUINO!S25</f>
        <v>3861000</v>
      </c>
      <c r="S23" s="5">
        <f t="shared" si="6"/>
        <v>30888000</v>
      </c>
      <c r="T23" s="7">
        <f>I23-S23</f>
        <v>15444000</v>
      </c>
      <c r="U23" s="5">
        <f>+I23-T23</f>
        <v>30888000</v>
      </c>
      <c r="V23" s="5">
        <f>+S23-U23</f>
        <v>0</v>
      </c>
      <c r="Y23" s="300"/>
    </row>
    <row r="24" spans="1:25" s="98" customFormat="1" ht="11.25">
      <c r="A24" s="100"/>
      <c r="B24" s="100"/>
      <c r="C24" s="100">
        <v>114</v>
      </c>
      <c r="D24" s="2" t="s">
        <v>77</v>
      </c>
      <c r="E24" s="2" t="s">
        <v>21</v>
      </c>
      <c r="F24" s="23" t="s">
        <v>25</v>
      </c>
      <c r="G24" s="5">
        <f>20815131+1496813</f>
        <v>22311944</v>
      </c>
      <c r="H24" s="5">
        <v>-1496813</v>
      </c>
      <c r="I24" s="5">
        <f>G24+H24</f>
        <v>20815131</v>
      </c>
      <c r="J24" s="5">
        <v>0</v>
      </c>
      <c r="K24" s="5">
        <v>0</v>
      </c>
      <c r="L24" s="5">
        <v>0</v>
      </c>
      <c r="M24" s="5">
        <v>0</v>
      </c>
      <c r="N24" s="5">
        <f t="shared" si="2"/>
        <v>0</v>
      </c>
      <c r="O24" s="5">
        <v>0</v>
      </c>
      <c r="P24" s="5">
        <v>0</v>
      </c>
      <c r="Q24" s="5">
        <f>+GENUINO!R26</f>
        <v>0</v>
      </c>
      <c r="R24" s="5">
        <f>+GENUINO!S26</f>
        <v>0</v>
      </c>
      <c r="S24" s="5">
        <f t="shared" si="6"/>
        <v>0</v>
      </c>
      <c r="T24" s="7">
        <f>I24-S24</f>
        <v>20815131</v>
      </c>
      <c r="U24" s="5">
        <f>+I24-T24</f>
        <v>0</v>
      </c>
      <c r="V24" s="5">
        <f>+S24-U24</f>
        <v>0</v>
      </c>
      <c r="Y24" s="300"/>
    </row>
    <row r="25" spans="1:25" s="83" customFormat="1" ht="11.25">
      <c r="A25" s="101"/>
      <c r="B25" s="101"/>
      <c r="C25" s="101"/>
      <c r="D25" s="17"/>
      <c r="E25" s="17"/>
      <c r="F25" s="18"/>
      <c r="G25" s="5"/>
      <c r="H25" s="5"/>
      <c r="I25" s="5"/>
      <c r="J25" s="5"/>
      <c r="K25" s="5"/>
      <c r="L25" s="5"/>
      <c r="M25" s="5"/>
      <c r="N25" s="5">
        <f t="shared" si="2"/>
        <v>0</v>
      </c>
      <c r="O25" s="5"/>
      <c r="P25" s="5"/>
      <c r="Q25" s="5"/>
      <c r="R25" s="5"/>
      <c r="S25" s="5">
        <f t="shared" si="6"/>
        <v>0</v>
      </c>
      <c r="T25" s="7"/>
      <c r="U25" s="5"/>
      <c r="V25" s="5"/>
      <c r="Y25" s="300"/>
    </row>
    <row r="26" spans="1:25" s="98" customFormat="1" ht="11.25" hidden="1">
      <c r="A26" s="43"/>
      <c r="B26" s="43">
        <v>120</v>
      </c>
      <c r="C26" s="43"/>
      <c r="D26" s="43"/>
      <c r="E26" s="43"/>
      <c r="F26" s="13" t="s">
        <v>26</v>
      </c>
      <c r="G26" s="3">
        <f aca="true" t="shared" si="7" ref="G26:M26">SUM(G27:G29)</f>
        <v>0</v>
      </c>
      <c r="H26" s="3">
        <f t="shared" si="7"/>
        <v>0</v>
      </c>
      <c r="I26" s="3">
        <f t="shared" si="7"/>
        <v>0</v>
      </c>
      <c r="J26" s="3">
        <f t="shared" si="7"/>
        <v>0</v>
      </c>
      <c r="K26" s="3">
        <f t="shared" si="7"/>
        <v>0</v>
      </c>
      <c r="L26" s="3">
        <f t="shared" si="7"/>
        <v>0</v>
      </c>
      <c r="M26" s="3">
        <f t="shared" si="7"/>
        <v>0</v>
      </c>
      <c r="N26" s="3">
        <f t="shared" si="2"/>
        <v>0</v>
      </c>
      <c r="O26" s="3">
        <f aca="true" t="shared" si="8" ref="O26:V26">SUM(O27:O29)</f>
        <v>0</v>
      </c>
      <c r="P26" s="3">
        <f t="shared" si="8"/>
        <v>0</v>
      </c>
      <c r="Q26" s="3"/>
      <c r="R26" s="3"/>
      <c r="S26" s="3">
        <f t="shared" si="6"/>
        <v>0</v>
      </c>
      <c r="T26" s="6">
        <f t="shared" si="8"/>
        <v>0</v>
      </c>
      <c r="U26" s="3">
        <f t="shared" si="8"/>
        <v>0</v>
      </c>
      <c r="V26" s="3">
        <f t="shared" si="8"/>
        <v>0</v>
      </c>
      <c r="Y26" s="300"/>
    </row>
    <row r="27" spans="1:25" s="98" customFormat="1" ht="11.25" hidden="1">
      <c r="A27" s="100"/>
      <c r="B27" s="100"/>
      <c r="C27" s="100">
        <v>123</v>
      </c>
      <c r="D27" s="2" t="s">
        <v>77</v>
      </c>
      <c r="E27" s="2" t="s">
        <v>21</v>
      </c>
      <c r="F27" s="23" t="s">
        <v>27</v>
      </c>
      <c r="G27" s="5">
        <v>0</v>
      </c>
      <c r="H27" s="5">
        <v>0</v>
      </c>
      <c r="I27" s="5">
        <f>G27+H27</f>
        <v>0</v>
      </c>
      <c r="J27" s="5">
        <v>0</v>
      </c>
      <c r="K27" s="5">
        <v>0</v>
      </c>
      <c r="L27" s="5">
        <v>0</v>
      </c>
      <c r="M27" s="5">
        <v>0</v>
      </c>
      <c r="N27" s="5">
        <f t="shared" si="2"/>
        <v>0</v>
      </c>
      <c r="O27" s="5">
        <v>0</v>
      </c>
      <c r="P27" s="5">
        <v>0</v>
      </c>
      <c r="Q27" s="5"/>
      <c r="R27" s="5"/>
      <c r="S27" s="5">
        <f t="shared" si="6"/>
        <v>0</v>
      </c>
      <c r="T27" s="7">
        <f>I27-S27</f>
        <v>0</v>
      </c>
      <c r="U27" s="5">
        <v>0</v>
      </c>
      <c r="V27" s="5">
        <v>0</v>
      </c>
      <c r="Y27" s="300"/>
    </row>
    <row r="28" spans="1:25" s="98" customFormat="1" ht="11.25" hidden="1">
      <c r="A28" s="100"/>
      <c r="B28" s="100"/>
      <c r="C28" s="100">
        <v>125</v>
      </c>
      <c r="D28" s="2" t="s">
        <v>77</v>
      </c>
      <c r="E28" s="2" t="s">
        <v>21</v>
      </c>
      <c r="F28" s="23" t="s">
        <v>181</v>
      </c>
      <c r="G28" s="5">
        <v>0</v>
      </c>
      <c r="H28" s="5">
        <v>0</v>
      </c>
      <c r="I28" s="5">
        <f>G28+H28</f>
        <v>0</v>
      </c>
      <c r="J28" s="5">
        <v>0</v>
      </c>
      <c r="K28" s="5">
        <v>0</v>
      </c>
      <c r="L28" s="5">
        <v>0</v>
      </c>
      <c r="M28" s="5">
        <v>0</v>
      </c>
      <c r="N28" s="5">
        <f t="shared" si="2"/>
        <v>0</v>
      </c>
      <c r="O28" s="5">
        <v>0</v>
      </c>
      <c r="P28" s="5">
        <v>0</v>
      </c>
      <c r="Q28" s="5"/>
      <c r="R28" s="5"/>
      <c r="S28" s="5">
        <f t="shared" si="6"/>
        <v>0</v>
      </c>
      <c r="T28" s="7">
        <f>I28-S28</f>
        <v>0</v>
      </c>
      <c r="U28" s="5">
        <v>0</v>
      </c>
      <c r="V28" s="5">
        <v>0</v>
      </c>
      <c r="Y28" s="300"/>
    </row>
    <row r="29" spans="1:25" s="83" customFormat="1" ht="11.25" hidden="1">
      <c r="A29" s="101"/>
      <c r="B29" s="101"/>
      <c r="C29" s="101"/>
      <c r="D29" s="17"/>
      <c r="E29" s="17"/>
      <c r="F29" s="18"/>
      <c r="G29" s="5"/>
      <c r="H29" s="5"/>
      <c r="I29" s="5"/>
      <c r="J29" s="5"/>
      <c r="K29" s="5"/>
      <c r="L29" s="5"/>
      <c r="M29" s="5"/>
      <c r="N29" s="5">
        <f t="shared" si="2"/>
        <v>0</v>
      </c>
      <c r="O29" s="5"/>
      <c r="P29" s="5"/>
      <c r="Q29" s="5"/>
      <c r="R29" s="5"/>
      <c r="S29" s="5">
        <f t="shared" si="6"/>
        <v>0</v>
      </c>
      <c r="T29" s="7"/>
      <c r="U29" s="5"/>
      <c r="V29" s="5"/>
      <c r="Y29" s="300"/>
    </row>
    <row r="30" spans="1:25" s="98" customFormat="1" ht="11.25">
      <c r="A30" s="43"/>
      <c r="B30" s="43">
        <v>130</v>
      </c>
      <c r="C30" s="43"/>
      <c r="D30" s="1"/>
      <c r="E30" s="1"/>
      <c r="F30" s="13" t="s">
        <v>182</v>
      </c>
      <c r="G30" s="3">
        <f>SUM(G31:G36)</f>
        <v>57650183</v>
      </c>
      <c r="H30" s="3">
        <f aca="true" t="shared" si="9" ref="H30:M30">SUM(H31:H36)</f>
        <v>0</v>
      </c>
      <c r="I30" s="3">
        <f t="shared" si="9"/>
        <v>57650183</v>
      </c>
      <c r="J30" s="3">
        <f t="shared" si="9"/>
        <v>0</v>
      </c>
      <c r="K30" s="3">
        <f t="shared" si="9"/>
        <v>1280896</v>
      </c>
      <c r="L30" s="3">
        <f t="shared" si="9"/>
        <v>1280896</v>
      </c>
      <c r="M30" s="3">
        <f t="shared" si="9"/>
        <v>1280896</v>
      </c>
      <c r="N30" s="3">
        <f t="shared" si="2"/>
        <v>3842688</v>
      </c>
      <c r="O30" s="3">
        <f aca="true" t="shared" si="10" ref="O30:V30">SUM(O31:O36)</f>
        <v>1280896</v>
      </c>
      <c r="P30" s="3">
        <f t="shared" si="10"/>
        <v>1280996</v>
      </c>
      <c r="Q30" s="3">
        <f>SUM(Q31:Q36)</f>
        <v>5580896</v>
      </c>
      <c r="R30" s="3">
        <f>SUM(R31:R36)</f>
        <v>2361792</v>
      </c>
      <c r="S30" s="3">
        <f>SUM(S31:S36)</f>
        <v>14347268</v>
      </c>
      <c r="T30" s="6">
        <f t="shared" si="10"/>
        <v>43302915</v>
      </c>
      <c r="U30" s="3">
        <f t="shared" si="10"/>
        <v>14347268</v>
      </c>
      <c r="V30" s="3">
        <f t="shared" si="10"/>
        <v>0</v>
      </c>
      <c r="Y30" s="300"/>
    </row>
    <row r="31" spans="1:25" s="98" customFormat="1" ht="11.25">
      <c r="A31" s="100"/>
      <c r="B31" s="100"/>
      <c r="C31" s="100">
        <v>131</v>
      </c>
      <c r="D31" s="2" t="s">
        <v>77</v>
      </c>
      <c r="E31" s="2" t="s">
        <v>21</v>
      </c>
      <c r="F31" s="23" t="s">
        <v>183</v>
      </c>
      <c r="G31" s="5">
        <v>0</v>
      </c>
      <c r="H31" s="5">
        <v>0</v>
      </c>
      <c r="I31" s="5">
        <f aca="true" t="shared" si="11" ref="I31:I36">G31+H31</f>
        <v>0</v>
      </c>
      <c r="J31" s="5">
        <v>0</v>
      </c>
      <c r="K31" s="5">
        <v>0</v>
      </c>
      <c r="L31" s="5">
        <v>0</v>
      </c>
      <c r="M31" s="5">
        <v>0</v>
      </c>
      <c r="N31" s="5">
        <f t="shared" si="2"/>
        <v>0</v>
      </c>
      <c r="O31" s="5">
        <v>0</v>
      </c>
      <c r="P31" s="5">
        <v>0</v>
      </c>
      <c r="Q31" s="5"/>
      <c r="R31" s="5"/>
      <c r="S31" s="5">
        <f t="shared" si="6"/>
        <v>0</v>
      </c>
      <c r="T31" s="7">
        <f aca="true" t="shared" si="12" ref="T31:T36">I31-S31</f>
        <v>0</v>
      </c>
      <c r="U31" s="5">
        <v>0</v>
      </c>
      <c r="V31" s="5">
        <v>0</v>
      </c>
      <c r="Y31" s="300"/>
    </row>
    <row r="32" spans="1:25" s="98" customFormat="1" ht="11.25">
      <c r="A32" s="100"/>
      <c r="B32" s="100"/>
      <c r="C32" s="100">
        <v>133</v>
      </c>
      <c r="D32" s="2" t="s">
        <v>77</v>
      </c>
      <c r="E32" s="2" t="s">
        <v>21</v>
      </c>
      <c r="F32" s="23" t="s">
        <v>28</v>
      </c>
      <c r="G32" s="5">
        <v>8505000</v>
      </c>
      <c r="H32" s="5">
        <v>0</v>
      </c>
      <c r="I32" s="5">
        <f t="shared" si="11"/>
        <v>8505000</v>
      </c>
      <c r="J32" s="5">
        <v>0</v>
      </c>
      <c r="K32" s="5">
        <v>0</v>
      </c>
      <c r="L32" s="5">
        <v>0</v>
      </c>
      <c r="M32" s="5">
        <v>0</v>
      </c>
      <c r="N32" s="5">
        <f t="shared" si="2"/>
        <v>0</v>
      </c>
      <c r="O32" s="5">
        <v>0</v>
      </c>
      <c r="P32" s="5">
        <v>0</v>
      </c>
      <c r="Q32" s="5">
        <f>+GENUINO!R38</f>
        <v>4500000</v>
      </c>
      <c r="R32" s="5"/>
      <c r="S32" s="5">
        <f t="shared" si="6"/>
        <v>4500000</v>
      </c>
      <c r="T32" s="7">
        <f t="shared" si="12"/>
        <v>4005000</v>
      </c>
      <c r="U32" s="5">
        <f>+I32-T32</f>
        <v>4500000</v>
      </c>
      <c r="V32" s="5">
        <f>+S32-U32</f>
        <v>0</v>
      </c>
      <c r="Y32" s="300"/>
    </row>
    <row r="33" spans="1:25" s="98" customFormat="1" ht="11.25">
      <c r="A33" s="100"/>
      <c r="B33" s="100"/>
      <c r="C33" s="100">
        <v>134</v>
      </c>
      <c r="D33" s="2" t="s">
        <v>77</v>
      </c>
      <c r="E33" s="2" t="s">
        <v>21</v>
      </c>
      <c r="F33" s="23" t="s">
        <v>29</v>
      </c>
      <c r="G33" s="5">
        <f>20344958+1796175</f>
        <v>22141133</v>
      </c>
      <c r="H33" s="5">
        <v>0</v>
      </c>
      <c r="I33" s="5">
        <f t="shared" si="11"/>
        <v>22141133</v>
      </c>
      <c r="J33" s="5">
        <v>0</v>
      </c>
      <c r="K33" s="5">
        <v>1280896</v>
      </c>
      <c r="L33" s="5">
        <v>1280896</v>
      </c>
      <c r="M33" s="5">
        <v>1280896</v>
      </c>
      <c r="N33" s="5">
        <f t="shared" si="2"/>
        <v>3842688</v>
      </c>
      <c r="O33" s="5">
        <v>1280896</v>
      </c>
      <c r="P33" s="5">
        <v>1280996</v>
      </c>
      <c r="Q33" s="5">
        <f>+GENUINO!R39</f>
        <v>1080896</v>
      </c>
      <c r="R33" s="5">
        <f>+GENUINO!S39</f>
        <v>2361792</v>
      </c>
      <c r="S33" s="5">
        <f t="shared" si="6"/>
        <v>9847268</v>
      </c>
      <c r="T33" s="7">
        <f t="shared" si="12"/>
        <v>12293865</v>
      </c>
      <c r="U33" s="5">
        <f>+I33-T33</f>
        <v>9847268</v>
      </c>
      <c r="V33" s="5">
        <f>+S33-U33</f>
        <v>0</v>
      </c>
      <c r="Y33" s="300"/>
    </row>
    <row r="34" spans="1:25" s="98" customFormat="1" ht="11.25">
      <c r="A34" s="100"/>
      <c r="B34" s="100"/>
      <c r="C34" s="100">
        <v>135</v>
      </c>
      <c r="D34" s="2" t="s">
        <v>77</v>
      </c>
      <c r="E34" s="2" t="s">
        <v>21</v>
      </c>
      <c r="F34" s="23" t="s">
        <v>30</v>
      </c>
      <c r="G34" s="5">
        <v>0</v>
      </c>
      <c r="H34" s="5">
        <v>0</v>
      </c>
      <c r="I34" s="5">
        <f t="shared" si="11"/>
        <v>0</v>
      </c>
      <c r="J34" s="5">
        <v>0</v>
      </c>
      <c r="K34" s="5">
        <v>0</v>
      </c>
      <c r="L34" s="5">
        <v>0</v>
      </c>
      <c r="M34" s="5">
        <v>0</v>
      </c>
      <c r="N34" s="5">
        <f t="shared" si="2"/>
        <v>0</v>
      </c>
      <c r="O34" s="5">
        <v>0</v>
      </c>
      <c r="P34" s="5">
        <v>0</v>
      </c>
      <c r="R34" s="5">
        <f>+GENUINO!S42</f>
        <v>0</v>
      </c>
      <c r="S34" s="5">
        <f t="shared" si="6"/>
        <v>0</v>
      </c>
      <c r="T34" s="7">
        <f t="shared" si="12"/>
        <v>0</v>
      </c>
      <c r="U34" s="5">
        <f>+I34-T34</f>
        <v>0</v>
      </c>
      <c r="V34" s="5">
        <f>+S34-U34</f>
        <v>0</v>
      </c>
      <c r="Y34" s="300"/>
    </row>
    <row r="35" spans="1:25" s="98" customFormat="1" ht="11.25">
      <c r="A35" s="100"/>
      <c r="B35" s="100"/>
      <c r="C35" s="100">
        <v>136</v>
      </c>
      <c r="D35" s="2" t="s">
        <v>77</v>
      </c>
      <c r="E35" s="2" t="s">
        <v>21</v>
      </c>
      <c r="F35" s="23" t="s">
        <v>184</v>
      </c>
      <c r="G35" s="5">
        <v>0</v>
      </c>
      <c r="H35" s="5">
        <v>0</v>
      </c>
      <c r="I35" s="5">
        <f t="shared" si="11"/>
        <v>0</v>
      </c>
      <c r="J35" s="5">
        <v>0</v>
      </c>
      <c r="K35" s="5">
        <v>0</v>
      </c>
      <c r="L35" s="5">
        <v>0</v>
      </c>
      <c r="M35" s="5">
        <v>0</v>
      </c>
      <c r="N35" s="5">
        <f t="shared" si="2"/>
        <v>0</v>
      </c>
      <c r="O35" s="5">
        <v>0</v>
      </c>
      <c r="P35" s="5">
        <v>0</v>
      </c>
      <c r="Q35" s="5"/>
      <c r="R35" s="5"/>
      <c r="S35" s="5">
        <f t="shared" si="6"/>
        <v>0</v>
      </c>
      <c r="T35" s="7">
        <f t="shared" si="12"/>
        <v>0</v>
      </c>
      <c r="U35" s="5">
        <f>+I35-T35</f>
        <v>0</v>
      </c>
      <c r="V35" s="5">
        <f>+S35-U35</f>
        <v>0</v>
      </c>
      <c r="Y35" s="300"/>
    </row>
    <row r="36" spans="1:25" s="98" customFormat="1" ht="11.25">
      <c r="A36" s="100"/>
      <c r="B36" s="100"/>
      <c r="C36" s="100">
        <v>137</v>
      </c>
      <c r="D36" s="2" t="s">
        <v>77</v>
      </c>
      <c r="E36" s="2" t="s">
        <v>21</v>
      </c>
      <c r="F36" s="23" t="s">
        <v>185</v>
      </c>
      <c r="G36" s="5">
        <v>27004050</v>
      </c>
      <c r="H36" s="5">
        <v>0</v>
      </c>
      <c r="I36" s="5">
        <f t="shared" si="11"/>
        <v>27004050</v>
      </c>
      <c r="J36" s="5">
        <v>0</v>
      </c>
      <c r="K36" s="5">
        <v>0</v>
      </c>
      <c r="L36" s="5">
        <v>0</v>
      </c>
      <c r="M36" s="5">
        <v>0</v>
      </c>
      <c r="N36" s="5">
        <f t="shared" si="2"/>
        <v>0</v>
      </c>
      <c r="O36" s="5">
        <v>0</v>
      </c>
      <c r="P36" s="5">
        <v>0</v>
      </c>
      <c r="Q36" s="5"/>
      <c r="R36" s="5"/>
      <c r="S36" s="5">
        <f t="shared" si="6"/>
        <v>0</v>
      </c>
      <c r="T36" s="7">
        <f t="shared" si="12"/>
        <v>27004050</v>
      </c>
      <c r="U36" s="5">
        <f>+I36-T36</f>
        <v>0</v>
      </c>
      <c r="V36" s="5">
        <f>+S36-U36</f>
        <v>0</v>
      </c>
      <c r="Y36" s="300"/>
    </row>
    <row r="37" spans="1:25" s="83" customFormat="1" ht="11.25">
      <c r="A37" s="101"/>
      <c r="B37" s="101"/>
      <c r="C37" s="101"/>
      <c r="D37" s="17"/>
      <c r="E37" s="17"/>
      <c r="F37" s="18"/>
      <c r="G37" s="5"/>
      <c r="H37" s="5"/>
      <c r="I37" s="5"/>
      <c r="J37" s="5"/>
      <c r="K37" s="5"/>
      <c r="L37" s="5"/>
      <c r="M37" s="5"/>
      <c r="N37" s="5">
        <f t="shared" si="2"/>
        <v>0</v>
      </c>
      <c r="O37" s="5"/>
      <c r="P37" s="5"/>
      <c r="Q37" s="5"/>
      <c r="R37" s="5"/>
      <c r="S37" s="5">
        <f t="shared" si="6"/>
        <v>0</v>
      </c>
      <c r="T37" s="7"/>
      <c r="U37" s="5"/>
      <c r="V37" s="5"/>
      <c r="Y37" s="300"/>
    </row>
    <row r="38" spans="1:26" s="98" customFormat="1" ht="11.25">
      <c r="A38" s="43"/>
      <c r="B38" s="43">
        <v>140</v>
      </c>
      <c r="C38" s="43"/>
      <c r="D38" s="1"/>
      <c r="E38" s="1"/>
      <c r="F38" s="13" t="s">
        <v>186</v>
      </c>
      <c r="G38" s="3">
        <f aca="true" t="shared" si="13" ref="G38:M38">SUM(G39:G48)</f>
        <v>393630000</v>
      </c>
      <c r="H38" s="3">
        <f t="shared" si="13"/>
        <v>4765665</v>
      </c>
      <c r="I38" s="3">
        <f t="shared" si="13"/>
        <v>398395665</v>
      </c>
      <c r="J38" s="3">
        <f t="shared" si="13"/>
        <v>0</v>
      </c>
      <c r="K38" s="3">
        <f t="shared" si="13"/>
        <v>10736812</v>
      </c>
      <c r="L38" s="3">
        <f t="shared" si="13"/>
        <v>13696812</v>
      </c>
      <c r="M38" s="3">
        <f t="shared" si="13"/>
        <v>51316000</v>
      </c>
      <c r="N38" s="3">
        <f t="shared" si="2"/>
        <v>75749624</v>
      </c>
      <c r="O38" s="3">
        <f aca="true" t="shared" si="14" ref="O38:V38">SUM(O39:O48)</f>
        <v>79490436</v>
      </c>
      <c r="P38" s="3">
        <f t="shared" si="14"/>
        <v>36200000</v>
      </c>
      <c r="Q38" s="3">
        <f>SUM(Q39:Q48)</f>
        <v>45400000</v>
      </c>
      <c r="R38" s="3">
        <f>SUM(R39:R48)</f>
        <v>38850000</v>
      </c>
      <c r="S38" s="3">
        <f t="shared" si="14"/>
        <v>275690060</v>
      </c>
      <c r="T38" s="6">
        <f t="shared" si="14"/>
        <v>122705605</v>
      </c>
      <c r="U38" s="3">
        <f t="shared" si="14"/>
        <v>275690060</v>
      </c>
      <c r="V38" s="3">
        <f t="shared" si="14"/>
        <v>0</v>
      </c>
      <c r="X38" s="483"/>
      <c r="Y38" s="505"/>
      <c r="Z38" s="483"/>
    </row>
    <row r="39" spans="1:25" s="98" customFormat="1" ht="11.25">
      <c r="A39" s="100"/>
      <c r="B39" s="100"/>
      <c r="C39" s="100">
        <v>141</v>
      </c>
      <c r="D39" s="2" t="s">
        <v>77</v>
      </c>
      <c r="E39" s="2" t="s">
        <v>32</v>
      </c>
      <c r="F39" s="23" t="s">
        <v>321</v>
      </c>
      <c r="G39" s="5">
        <v>0</v>
      </c>
      <c r="H39" s="5">
        <v>0</v>
      </c>
      <c r="I39" s="5">
        <f aca="true" t="shared" si="15" ref="I39:I47">G39+H39</f>
        <v>0</v>
      </c>
      <c r="J39" s="5">
        <v>0</v>
      </c>
      <c r="K39" s="5">
        <v>0</v>
      </c>
      <c r="L39" s="5">
        <v>0</v>
      </c>
      <c r="M39" s="5">
        <v>0</v>
      </c>
      <c r="N39" s="5">
        <f t="shared" si="2"/>
        <v>0</v>
      </c>
      <c r="O39" s="5">
        <v>0</v>
      </c>
      <c r="P39" s="5">
        <v>0</v>
      </c>
      <c r="Q39" s="5"/>
      <c r="R39" s="5"/>
      <c r="S39" s="5">
        <f t="shared" si="6"/>
        <v>0</v>
      </c>
      <c r="T39" s="7">
        <f aca="true" t="shared" si="16" ref="T39:T47">I39-S39</f>
        <v>0</v>
      </c>
      <c r="U39" s="5">
        <v>0</v>
      </c>
      <c r="V39" s="5">
        <v>0</v>
      </c>
      <c r="Y39" s="300"/>
    </row>
    <row r="40" spans="1:25" s="98" customFormat="1" ht="11.25">
      <c r="A40" s="100"/>
      <c r="B40" s="100"/>
      <c r="C40" s="100">
        <v>142</v>
      </c>
      <c r="D40" s="2" t="s">
        <v>77</v>
      </c>
      <c r="E40" s="2" t="s">
        <v>33</v>
      </c>
      <c r="F40" s="23" t="s">
        <v>47</v>
      </c>
      <c r="G40" s="5">
        <v>0</v>
      </c>
      <c r="H40" s="5">
        <v>0</v>
      </c>
      <c r="I40" s="5">
        <f t="shared" si="15"/>
        <v>0</v>
      </c>
      <c r="J40" s="5">
        <v>0</v>
      </c>
      <c r="K40" s="5">
        <v>0</v>
      </c>
      <c r="L40" s="5">
        <v>0</v>
      </c>
      <c r="M40" s="5">
        <v>0</v>
      </c>
      <c r="N40" s="5">
        <f t="shared" si="2"/>
        <v>0</v>
      </c>
      <c r="O40" s="5">
        <v>0</v>
      </c>
      <c r="P40" s="5">
        <v>0</v>
      </c>
      <c r="Q40" s="5"/>
      <c r="R40" s="5"/>
      <c r="S40" s="5">
        <f t="shared" si="6"/>
        <v>0</v>
      </c>
      <c r="T40" s="7">
        <f t="shared" si="16"/>
        <v>0</v>
      </c>
      <c r="U40" s="5">
        <f aca="true" t="shared" si="17" ref="U40:U47">I40-T40</f>
        <v>0</v>
      </c>
      <c r="V40" s="5">
        <f aca="true" t="shared" si="18" ref="V40:V47">+S40-U40</f>
        <v>0</v>
      </c>
      <c r="Y40" s="300"/>
    </row>
    <row r="41" spans="1:25" s="98" customFormat="1" ht="11.25">
      <c r="A41" s="100"/>
      <c r="B41" s="100"/>
      <c r="C41" s="100">
        <v>145</v>
      </c>
      <c r="D41" s="2" t="s">
        <v>77</v>
      </c>
      <c r="E41" s="2" t="s">
        <v>32</v>
      </c>
      <c r="F41" s="23" t="s">
        <v>187</v>
      </c>
      <c r="G41" s="5">
        <v>40500000</v>
      </c>
      <c r="H41" s="5">
        <f>-10500000+26500000</f>
        <v>16000000</v>
      </c>
      <c r="I41" s="5">
        <f t="shared" si="15"/>
        <v>56500000</v>
      </c>
      <c r="J41" s="5">
        <v>0</v>
      </c>
      <c r="K41" s="5">
        <v>0</v>
      </c>
      <c r="L41" s="5">
        <v>6500000</v>
      </c>
      <c r="M41" s="5">
        <v>0</v>
      </c>
      <c r="N41" s="5">
        <f t="shared" si="2"/>
        <v>6500000</v>
      </c>
      <c r="O41" s="5">
        <v>25000000</v>
      </c>
      <c r="P41" s="5">
        <v>25000000</v>
      </c>
      <c r="Q41" s="5"/>
      <c r="R41" s="5">
        <f>+ROYALTIES!S46</f>
        <v>0</v>
      </c>
      <c r="S41" s="5">
        <f t="shared" si="6"/>
        <v>56500000</v>
      </c>
      <c r="T41" s="7">
        <f t="shared" si="16"/>
        <v>0</v>
      </c>
      <c r="U41" s="5">
        <f t="shared" si="17"/>
        <v>56500000</v>
      </c>
      <c r="V41" s="5">
        <f t="shared" si="18"/>
        <v>0</v>
      </c>
      <c r="Y41" s="300"/>
    </row>
    <row r="42" spans="1:25" s="98" customFormat="1" ht="11.25">
      <c r="A42" s="100"/>
      <c r="B42" s="100"/>
      <c r="C42" s="100">
        <v>144</v>
      </c>
      <c r="D42" s="2" t="s">
        <v>77</v>
      </c>
      <c r="E42" s="2" t="s">
        <v>58</v>
      </c>
      <c r="F42" s="23" t="s">
        <v>31</v>
      </c>
      <c r="G42" s="5">
        <v>0</v>
      </c>
      <c r="H42" s="5">
        <v>0</v>
      </c>
      <c r="I42" s="5">
        <f t="shared" si="15"/>
        <v>0</v>
      </c>
      <c r="J42" s="5">
        <v>0</v>
      </c>
      <c r="K42" s="5">
        <v>0</v>
      </c>
      <c r="L42" s="5">
        <v>0</v>
      </c>
      <c r="M42" s="5">
        <v>0</v>
      </c>
      <c r="N42" s="5">
        <f t="shared" si="2"/>
        <v>0</v>
      </c>
      <c r="O42" s="5">
        <v>0</v>
      </c>
      <c r="P42" s="5">
        <v>0</v>
      </c>
      <c r="Q42" s="5"/>
      <c r="R42" s="5"/>
      <c r="S42" s="5">
        <f t="shared" si="6"/>
        <v>0</v>
      </c>
      <c r="T42" s="7">
        <f t="shared" si="16"/>
        <v>0</v>
      </c>
      <c r="U42" s="5">
        <f t="shared" si="17"/>
        <v>0</v>
      </c>
      <c r="V42" s="5">
        <f t="shared" si="18"/>
        <v>0</v>
      </c>
      <c r="Y42" s="300"/>
    </row>
    <row r="43" spans="1:25" s="98" customFormat="1" ht="11.25">
      <c r="A43" s="100"/>
      <c r="B43" s="100"/>
      <c r="C43" s="100">
        <v>144</v>
      </c>
      <c r="D43" s="2" t="s">
        <v>77</v>
      </c>
      <c r="E43" s="2" t="s">
        <v>33</v>
      </c>
      <c r="F43" s="23" t="s">
        <v>31</v>
      </c>
      <c r="G43" s="5">
        <v>36000000</v>
      </c>
      <c r="H43" s="5">
        <v>0</v>
      </c>
      <c r="I43" s="5">
        <f t="shared" si="15"/>
        <v>36000000</v>
      </c>
      <c r="J43" s="5">
        <v>0</v>
      </c>
      <c r="K43" s="5">
        <v>0</v>
      </c>
      <c r="L43" s="5">
        <v>0</v>
      </c>
      <c r="M43" s="5">
        <v>0</v>
      </c>
      <c r="N43" s="5">
        <f t="shared" si="2"/>
        <v>0</v>
      </c>
      <c r="O43" s="5">
        <v>0</v>
      </c>
      <c r="P43" s="5">
        <v>0</v>
      </c>
      <c r="Q43" s="5"/>
      <c r="R43" s="5"/>
      <c r="S43" s="5">
        <f t="shared" si="6"/>
        <v>0</v>
      </c>
      <c r="T43" s="7">
        <f t="shared" si="16"/>
        <v>36000000</v>
      </c>
      <c r="U43" s="5">
        <f t="shared" si="17"/>
        <v>0</v>
      </c>
      <c r="V43" s="5">
        <f t="shared" si="18"/>
        <v>0</v>
      </c>
      <c r="Y43" s="300"/>
    </row>
    <row r="44" spans="1:25" s="98" customFormat="1" ht="11.25">
      <c r="A44" s="100"/>
      <c r="B44" s="100"/>
      <c r="C44" s="100">
        <v>144</v>
      </c>
      <c r="D44" s="2" t="s">
        <v>77</v>
      </c>
      <c r="E44" s="2" t="s">
        <v>21</v>
      </c>
      <c r="F44" s="23" t="s">
        <v>31</v>
      </c>
      <c r="G44" s="5">
        <v>84240000</v>
      </c>
      <c r="H44" s="5">
        <v>19458563</v>
      </c>
      <c r="I44" s="5">
        <f t="shared" si="15"/>
        <v>103698563</v>
      </c>
      <c r="J44" s="5">
        <v>0</v>
      </c>
      <c r="K44" s="5">
        <v>8396812</v>
      </c>
      <c r="L44" s="5">
        <v>7196812</v>
      </c>
      <c r="M44" s="5">
        <v>9000000</v>
      </c>
      <c r="N44" s="5">
        <f t="shared" si="2"/>
        <v>24593624</v>
      </c>
      <c r="O44" s="5">
        <v>21690436</v>
      </c>
      <c r="P44" s="5">
        <v>11200000</v>
      </c>
      <c r="Q44" s="5">
        <f>+GENUINO!R56</f>
        <v>8100000</v>
      </c>
      <c r="R44" s="5">
        <f>+GENUINO!S56</f>
        <v>10700000</v>
      </c>
      <c r="S44" s="5">
        <f t="shared" si="6"/>
        <v>76284060</v>
      </c>
      <c r="T44" s="7">
        <f t="shared" si="16"/>
        <v>27414503</v>
      </c>
      <c r="U44" s="5">
        <f t="shared" si="17"/>
        <v>76284060</v>
      </c>
      <c r="V44" s="5">
        <f t="shared" si="18"/>
        <v>0</v>
      </c>
      <c r="Y44" s="300"/>
    </row>
    <row r="45" spans="1:25" s="98" customFormat="1" ht="11.25">
      <c r="A45" s="100"/>
      <c r="B45" s="100"/>
      <c r="C45" s="100">
        <v>144</v>
      </c>
      <c r="D45" s="2" t="s">
        <v>77</v>
      </c>
      <c r="E45" s="2" t="s">
        <v>32</v>
      </c>
      <c r="F45" s="23" t="s">
        <v>31</v>
      </c>
      <c r="G45" s="5">
        <v>136890000</v>
      </c>
      <c r="H45" s="5">
        <f>-16890000-2263333-26500000</f>
        <v>-45653333</v>
      </c>
      <c r="I45" s="5">
        <f t="shared" si="15"/>
        <v>91236667</v>
      </c>
      <c r="J45" s="5">
        <v>0</v>
      </c>
      <c r="K45" s="5">
        <v>2340000</v>
      </c>
      <c r="L45" s="5">
        <v>0</v>
      </c>
      <c r="M45" s="5">
        <v>19316000</v>
      </c>
      <c r="N45" s="5">
        <f t="shared" si="2"/>
        <v>21656000</v>
      </c>
      <c r="O45" s="5">
        <v>19800000</v>
      </c>
      <c r="P45" s="5"/>
      <c r="Q45" s="5">
        <f>+ROYALTIES!R50</f>
        <v>19800000</v>
      </c>
      <c r="R45" s="5">
        <f>+ROYALTIES!S50</f>
        <v>9900000</v>
      </c>
      <c r="S45" s="5">
        <f t="shared" si="6"/>
        <v>71156000</v>
      </c>
      <c r="T45" s="7">
        <f t="shared" si="16"/>
        <v>20080667</v>
      </c>
      <c r="U45" s="5">
        <f t="shared" si="17"/>
        <v>71156000</v>
      </c>
      <c r="V45" s="5">
        <f t="shared" si="18"/>
        <v>0</v>
      </c>
      <c r="Y45" s="300"/>
    </row>
    <row r="46" spans="1:25" s="98" customFormat="1" ht="11.25" hidden="1">
      <c r="A46" s="100"/>
      <c r="B46" s="100"/>
      <c r="C46" s="100">
        <v>145</v>
      </c>
      <c r="D46" s="2" t="s">
        <v>77</v>
      </c>
      <c r="E46" s="2" t="s">
        <v>32</v>
      </c>
      <c r="F46" s="23" t="s">
        <v>187</v>
      </c>
      <c r="G46" s="5">
        <v>0</v>
      </c>
      <c r="H46" s="5">
        <v>0</v>
      </c>
      <c r="I46" s="5">
        <f t="shared" si="15"/>
        <v>0</v>
      </c>
      <c r="J46" s="5">
        <v>0</v>
      </c>
      <c r="K46" s="5">
        <v>0</v>
      </c>
      <c r="L46" s="5">
        <v>0</v>
      </c>
      <c r="M46" s="5">
        <v>0</v>
      </c>
      <c r="N46" s="5">
        <f t="shared" si="2"/>
        <v>0</v>
      </c>
      <c r="O46" s="5">
        <v>0</v>
      </c>
      <c r="P46" s="5">
        <v>0</v>
      </c>
      <c r="Q46" s="5"/>
      <c r="R46" s="5"/>
      <c r="S46" s="5">
        <f t="shared" si="6"/>
        <v>0</v>
      </c>
      <c r="T46" s="7">
        <f t="shared" si="16"/>
        <v>0</v>
      </c>
      <c r="U46" s="5">
        <f t="shared" si="17"/>
        <v>0</v>
      </c>
      <c r="V46" s="5">
        <f t="shared" si="18"/>
        <v>0</v>
      </c>
      <c r="Y46" s="300"/>
    </row>
    <row r="47" spans="1:25" s="98" customFormat="1" ht="11.25">
      <c r="A47" s="100"/>
      <c r="B47" s="100"/>
      <c r="C47" s="100">
        <v>145</v>
      </c>
      <c r="D47" s="2" t="s">
        <v>77</v>
      </c>
      <c r="E47" s="2" t="s">
        <v>21</v>
      </c>
      <c r="F47" s="23" t="s">
        <v>187</v>
      </c>
      <c r="G47" s="5">
        <v>96000000</v>
      </c>
      <c r="H47" s="5">
        <v>14960435</v>
      </c>
      <c r="I47" s="5">
        <f t="shared" si="15"/>
        <v>110960435</v>
      </c>
      <c r="J47" s="5">
        <v>0</v>
      </c>
      <c r="K47" s="5">
        <v>0</v>
      </c>
      <c r="L47" s="5">
        <v>0</v>
      </c>
      <c r="M47" s="5">
        <v>23000000</v>
      </c>
      <c r="N47" s="5">
        <f t="shared" si="2"/>
        <v>23000000</v>
      </c>
      <c r="O47" s="5">
        <v>13000000</v>
      </c>
      <c r="P47" s="5">
        <v>0</v>
      </c>
      <c r="Q47" s="5">
        <f>+GENUINO!R59</f>
        <v>17500000</v>
      </c>
      <c r="R47" s="5">
        <f>+GENUINO!S59</f>
        <v>18250000</v>
      </c>
      <c r="S47" s="5">
        <f t="shared" si="6"/>
        <v>71750000</v>
      </c>
      <c r="T47" s="7">
        <f t="shared" si="16"/>
        <v>39210435</v>
      </c>
      <c r="U47" s="5">
        <f t="shared" si="17"/>
        <v>71750000</v>
      </c>
      <c r="V47" s="5">
        <f t="shared" si="18"/>
        <v>0</v>
      </c>
      <c r="Y47" s="300"/>
    </row>
    <row r="48" spans="1:25" s="83" customFormat="1" ht="11.25">
      <c r="A48" s="101"/>
      <c r="B48" s="101"/>
      <c r="C48" s="101"/>
      <c r="D48" s="17"/>
      <c r="E48" s="17"/>
      <c r="F48" s="18"/>
      <c r="G48" s="5"/>
      <c r="H48" s="5"/>
      <c r="I48" s="5"/>
      <c r="J48" s="5"/>
      <c r="K48" s="5"/>
      <c r="L48" s="5"/>
      <c r="M48" s="5"/>
      <c r="N48" s="5">
        <f t="shared" si="2"/>
        <v>0</v>
      </c>
      <c r="O48" s="5"/>
      <c r="P48" s="5"/>
      <c r="Q48" s="5"/>
      <c r="R48" s="5"/>
      <c r="S48" s="5">
        <f t="shared" si="6"/>
        <v>0</v>
      </c>
      <c r="T48" s="7"/>
      <c r="U48" s="5"/>
      <c r="V48" s="5"/>
      <c r="Y48" s="300"/>
    </row>
    <row r="49" spans="1:25" s="98" customFormat="1" ht="11.25">
      <c r="A49" s="43"/>
      <c r="B49" s="43">
        <v>190</v>
      </c>
      <c r="C49" s="43"/>
      <c r="D49" s="1"/>
      <c r="E49" s="1"/>
      <c r="F49" s="13" t="s">
        <v>188</v>
      </c>
      <c r="G49" s="3">
        <f aca="true" t="shared" si="19" ref="G49:M49">SUM(G50:G52)</f>
        <v>20000000</v>
      </c>
      <c r="H49" s="3">
        <f t="shared" si="19"/>
        <v>2263333</v>
      </c>
      <c r="I49" s="3">
        <f t="shared" si="19"/>
        <v>22263333</v>
      </c>
      <c r="J49" s="3">
        <f t="shared" si="19"/>
        <v>0</v>
      </c>
      <c r="K49" s="3">
        <f t="shared" si="19"/>
        <v>2263333</v>
      </c>
      <c r="L49" s="3">
        <f t="shared" si="19"/>
        <v>0</v>
      </c>
      <c r="M49" s="3">
        <f t="shared" si="19"/>
        <v>0</v>
      </c>
      <c r="N49" s="3">
        <f t="shared" si="2"/>
        <v>2263333</v>
      </c>
      <c r="O49" s="3">
        <f aca="true" t="shared" si="20" ref="O49:V49">SUM(O50:O52)</f>
        <v>0</v>
      </c>
      <c r="P49" s="3">
        <f t="shared" si="20"/>
        <v>1750000</v>
      </c>
      <c r="Q49" s="3">
        <f t="shared" si="20"/>
        <v>1750000</v>
      </c>
      <c r="R49" s="3">
        <f t="shared" si="20"/>
        <v>6588474</v>
      </c>
      <c r="S49" s="3">
        <f t="shared" si="20"/>
        <v>12351807</v>
      </c>
      <c r="T49" s="6">
        <f t="shared" si="20"/>
        <v>9911526</v>
      </c>
      <c r="U49" s="3">
        <f t="shared" si="20"/>
        <v>12351807</v>
      </c>
      <c r="V49" s="3">
        <f t="shared" si="20"/>
        <v>0</v>
      </c>
      <c r="Y49" s="300"/>
    </row>
    <row r="50" spans="1:25" s="98" customFormat="1" ht="11.25">
      <c r="A50" s="100"/>
      <c r="B50" s="100"/>
      <c r="C50" s="100">
        <v>199</v>
      </c>
      <c r="D50" s="2" t="s">
        <v>77</v>
      </c>
      <c r="E50" s="2" t="s">
        <v>32</v>
      </c>
      <c r="F50" s="23" t="s">
        <v>188</v>
      </c>
      <c r="G50" s="5">
        <v>0</v>
      </c>
      <c r="H50" s="5">
        <v>2263333</v>
      </c>
      <c r="I50" s="5">
        <f>G50+H50</f>
        <v>2263333</v>
      </c>
      <c r="J50" s="5">
        <v>0</v>
      </c>
      <c r="K50" s="5">
        <v>2263333</v>
      </c>
      <c r="L50" s="5">
        <v>0</v>
      </c>
      <c r="M50" s="5">
        <v>0</v>
      </c>
      <c r="N50" s="5">
        <f t="shared" si="2"/>
        <v>2263333</v>
      </c>
      <c r="O50" s="5">
        <v>0</v>
      </c>
      <c r="P50" s="5">
        <v>0</v>
      </c>
      <c r="Q50" s="5"/>
      <c r="R50" s="5"/>
      <c r="S50" s="5">
        <f t="shared" si="6"/>
        <v>2263333</v>
      </c>
      <c r="T50" s="7">
        <f>I50-S50</f>
        <v>0</v>
      </c>
      <c r="U50" s="5">
        <f>+I50-T50</f>
        <v>2263333</v>
      </c>
      <c r="V50" s="5">
        <f>+S50-U50</f>
        <v>0</v>
      </c>
      <c r="Y50" s="300"/>
    </row>
    <row r="51" spans="1:25" s="98" customFormat="1" ht="11.25">
      <c r="A51" s="100"/>
      <c r="B51" s="100"/>
      <c r="C51" s="100">
        <v>199</v>
      </c>
      <c r="D51" s="2" t="s">
        <v>77</v>
      </c>
      <c r="E51" s="2" t="s">
        <v>21</v>
      </c>
      <c r="F51" s="23" t="s">
        <v>188</v>
      </c>
      <c r="G51" s="5">
        <v>20000000</v>
      </c>
      <c r="H51" s="5">
        <v>0</v>
      </c>
      <c r="I51" s="5">
        <f>G51+H51</f>
        <v>20000000</v>
      </c>
      <c r="J51" s="5">
        <v>0</v>
      </c>
      <c r="K51" s="5">
        <v>0</v>
      </c>
      <c r="L51" s="5">
        <v>0</v>
      </c>
      <c r="M51" s="5">
        <v>0</v>
      </c>
      <c r="N51" s="5">
        <f t="shared" si="2"/>
        <v>0</v>
      </c>
      <c r="O51" s="5">
        <v>0</v>
      </c>
      <c r="P51" s="5">
        <v>1750000</v>
      </c>
      <c r="Q51" s="5">
        <f>+GENUINO!Q64</f>
        <v>1750000</v>
      </c>
      <c r="R51" s="5">
        <f>+GENUINO!R64</f>
        <v>6588474</v>
      </c>
      <c r="S51" s="5">
        <f>+N51+O51+P51+Q51+R51</f>
        <v>10088474</v>
      </c>
      <c r="T51" s="7">
        <f>I51-S51</f>
        <v>9911526</v>
      </c>
      <c r="U51" s="5">
        <f>+I51-T51</f>
        <v>10088474</v>
      </c>
      <c r="V51" s="5">
        <f>+S51-U51</f>
        <v>0</v>
      </c>
      <c r="Y51" s="300"/>
    </row>
    <row r="52" spans="1:25" s="83" customFormat="1" ht="11.25">
      <c r="A52" s="101"/>
      <c r="B52" s="101"/>
      <c r="C52" s="101"/>
      <c r="D52" s="17"/>
      <c r="E52" s="17"/>
      <c r="F52" s="18"/>
      <c r="G52" s="5"/>
      <c r="H52" s="5"/>
      <c r="I52" s="5"/>
      <c r="J52" s="5"/>
      <c r="K52" s="5"/>
      <c r="L52" s="5"/>
      <c r="M52" s="5"/>
      <c r="N52" s="5">
        <f t="shared" si="2"/>
        <v>0</v>
      </c>
      <c r="O52" s="5"/>
      <c r="P52" s="5"/>
      <c r="Q52" s="5"/>
      <c r="R52" s="5"/>
      <c r="S52" s="5">
        <f t="shared" si="6"/>
        <v>0</v>
      </c>
      <c r="T52" s="7"/>
      <c r="U52" s="5"/>
      <c r="V52" s="5"/>
      <c r="Y52" s="300"/>
    </row>
    <row r="53" spans="1:25" s="98" customFormat="1" ht="11.25">
      <c r="A53" s="43">
        <v>200</v>
      </c>
      <c r="B53" s="43"/>
      <c r="C53" s="43"/>
      <c r="D53" s="1"/>
      <c r="E53" s="1"/>
      <c r="F53" s="13" t="s">
        <v>34</v>
      </c>
      <c r="G53" s="3">
        <f aca="true" t="shared" si="21" ref="G53:V53">G54+G57+G60+G63+G69+G73+G78+G84+G88</f>
        <v>153140643</v>
      </c>
      <c r="H53" s="3">
        <f t="shared" si="21"/>
        <v>60000000</v>
      </c>
      <c r="I53" s="3">
        <f t="shared" si="21"/>
        <v>213140643</v>
      </c>
      <c r="J53" s="3">
        <f t="shared" si="21"/>
        <v>1649172</v>
      </c>
      <c r="K53" s="3">
        <f t="shared" si="21"/>
        <v>1036700</v>
      </c>
      <c r="L53" s="3">
        <f t="shared" si="21"/>
        <v>0</v>
      </c>
      <c r="M53" s="3">
        <f t="shared" si="21"/>
        <v>2647601</v>
      </c>
      <c r="N53" s="3">
        <f t="shared" si="2"/>
        <v>5333473</v>
      </c>
      <c r="O53" s="3">
        <f t="shared" si="21"/>
        <v>50546564</v>
      </c>
      <c r="P53" s="3">
        <f t="shared" si="21"/>
        <v>10282578</v>
      </c>
      <c r="Q53" s="3">
        <f>Q54+Q57+Q60+Q63+Q69+Q73+Q78+Q84+Q88</f>
        <v>52371772</v>
      </c>
      <c r="R53" s="3">
        <f>R54+R57+R60+R63+R69+R73+R78+R84+R88</f>
        <v>18779814</v>
      </c>
      <c r="S53" s="3">
        <f>S54+S57+S60+S63+S69+S73+S78+S84+S88</f>
        <v>137314201</v>
      </c>
      <c r="T53" s="6">
        <f t="shared" si="21"/>
        <v>75826442</v>
      </c>
      <c r="U53" s="3">
        <f t="shared" si="21"/>
        <v>137314201</v>
      </c>
      <c r="V53" s="3">
        <f t="shared" si="21"/>
        <v>0</v>
      </c>
      <c r="Y53" s="300"/>
    </row>
    <row r="54" spans="1:25" s="98" customFormat="1" ht="11.25">
      <c r="A54" s="43"/>
      <c r="B54" s="43">
        <v>210</v>
      </c>
      <c r="C54" s="43"/>
      <c r="D54" s="1"/>
      <c r="E54" s="1"/>
      <c r="F54" s="13" t="s">
        <v>35</v>
      </c>
      <c r="G54" s="3">
        <f aca="true" t="shared" si="22" ref="G54:M54">SUM(G55:G56)</f>
        <v>19500000</v>
      </c>
      <c r="H54" s="3">
        <f t="shared" si="22"/>
        <v>0</v>
      </c>
      <c r="I54" s="3">
        <f t="shared" si="22"/>
        <v>19500000</v>
      </c>
      <c r="J54" s="3">
        <f t="shared" si="22"/>
        <v>0</v>
      </c>
      <c r="K54" s="3">
        <f t="shared" si="22"/>
        <v>0</v>
      </c>
      <c r="L54" s="3">
        <f t="shared" si="22"/>
        <v>0</v>
      </c>
      <c r="M54" s="3">
        <f t="shared" si="22"/>
        <v>265433</v>
      </c>
      <c r="N54" s="3">
        <f t="shared" si="2"/>
        <v>265433</v>
      </c>
      <c r="O54" s="3">
        <f aca="true" t="shared" si="23" ref="O54:V54">SUM(O55:O56)</f>
        <v>2813000</v>
      </c>
      <c r="P54" s="3">
        <f t="shared" si="23"/>
        <v>350000</v>
      </c>
      <c r="Q54" s="3">
        <f>SUM(Q55:Q56)</f>
        <v>382521</v>
      </c>
      <c r="R54" s="3">
        <f>SUM(R55:R56)</f>
        <v>1087313</v>
      </c>
      <c r="S54" s="3">
        <f>SUM(S55:S56)</f>
        <v>4898267</v>
      </c>
      <c r="T54" s="6">
        <f t="shared" si="23"/>
        <v>14601733</v>
      </c>
      <c r="U54" s="3">
        <f t="shared" si="23"/>
        <v>4898267</v>
      </c>
      <c r="V54" s="3">
        <f t="shared" si="23"/>
        <v>0</v>
      </c>
      <c r="Y54" s="300"/>
    </row>
    <row r="55" spans="1:25" s="98" customFormat="1" ht="11.25">
      <c r="A55" s="100"/>
      <c r="B55" s="100"/>
      <c r="C55" s="100">
        <v>210</v>
      </c>
      <c r="D55" s="2" t="s">
        <v>77</v>
      </c>
      <c r="E55" s="2" t="s">
        <v>21</v>
      </c>
      <c r="F55" s="23" t="s">
        <v>35</v>
      </c>
      <c r="G55" s="5">
        <v>19500000</v>
      </c>
      <c r="H55" s="5">
        <v>0</v>
      </c>
      <c r="I55" s="5">
        <f>G55+H55</f>
        <v>19500000</v>
      </c>
      <c r="J55" s="5">
        <v>0</v>
      </c>
      <c r="K55" s="5">
        <v>0</v>
      </c>
      <c r="L55" s="5">
        <v>0</v>
      </c>
      <c r="M55" s="5">
        <v>265433</v>
      </c>
      <c r="N55" s="5">
        <f t="shared" si="2"/>
        <v>265433</v>
      </c>
      <c r="O55" s="5">
        <v>2813000</v>
      </c>
      <c r="P55" s="5">
        <v>350000</v>
      </c>
      <c r="Q55" s="5">
        <f>+GENUINO!R68</f>
        <v>382521</v>
      </c>
      <c r="R55" s="5">
        <f>+GENUINO!S68</f>
        <v>1087313</v>
      </c>
      <c r="S55" s="5">
        <f t="shared" si="6"/>
        <v>4898267</v>
      </c>
      <c r="T55" s="7">
        <f>I55-S55</f>
        <v>14601733</v>
      </c>
      <c r="U55" s="5">
        <f>+I55-T55</f>
        <v>4898267</v>
      </c>
      <c r="V55" s="5">
        <f>+S55-U55</f>
        <v>0</v>
      </c>
      <c r="Y55" s="300"/>
    </row>
    <row r="56" spans="1:25" s="83" customFormat="1" ht="11.25">
      <c r="A56" s="101"/>
      <c r="B56" s="101"/>
      <c r="C56" s="101"/>
      <c r="D56" s="17"/>
      <c r="E56" s="17"/>
      <c r="F56" s="18"/>
      <c r="G56" s="5"/>
      <c r="H56" s="5"/>
      <c r="I56" s="5"/>
      <c r="J56" s="5"/>
      <c r="K56" s="5"/>
      <c r="L56" s="5"/>
      <c r="M56" s="5"/>
      <c r="N56" s="5">
        <f t="shared" si="2"/>
        <v>0</v>
      </c>
      <c r="O56" s="5"/>
      <c r="P56" s="5"/>
      <c r="Q56" s="5"/>
      <c r="R56" s="5"/>
      <c r="S56" s="5">
        <f t="shared" si="6"/>
        <v>0</v>
      </c>
      <c r="T56" s="7"/>
      <c r="U56" s="5"/>
      <c r="V56" s="5"/>
      <c r="Y56" s="300"/>
    </row>
    <row r="57" spans="1:25" s="98" customFormat="1" ht="11.25">
      <c r="A57" s="43"/>
      <c r="B57" s="43">
        <v>220</v>
      </c>
      <c r="C57" s="43"/>
      <c r="D57" s="1"/>
      <c r="E57" s="1"/>
      <c r="F57" s="13" t="s">
        <v>189</v>
      </c>
      <c r="G57" s="3">
        <f aca="true" t="shared" si="24" ref="G57:M57">SUM(G58:G59)</f>
        <v>19021000</v>
      </c>
      <c r="H57" s="3">
        <f t="shared" si="24"/>
        <v>0</v>
      </c>
      <c r="I57" s="3">
        <f t="shared" si="24"/>
        <v>19021000</v>
      </c>
      <c r="J57" s="3">
        <f t="shared" si="24"/>
        <v>0</v>
      </c>
      <c r="K57" s="3">
        <f t="shared" si="24"/>
        <v>0</v>
      </c>
      <c r="L57" s="3">
        <f t="shared" si="24"/>
        <v>0</v>
      </c>
      <c r="M57" s="3">
        <f t="shared" si="24"/>
        <v>0</v>
      </c>
      <c r="N57" s="3">
        <f t="shared" si="2"/>
        <v>0</v>
      </c>
      <c r="O57" s="3">
        <f aca="true" t="shared" si="25" ref="O57:V57">SUM(O58:O59)</f>
        <v>50000</v>
      </c>
      <c r="P57" s="3">
        <f t="shared" si="25"/>
        <v>0</v>
      </c>
      <c r="Q57" s="3">
        <f t="shared" si="25"/>
        <v>0</v>
      </c>
      <c r="R57" s="3">
        <f t="shared" si="25"/>
        <v>0</v>
      </c>
      <c r="S57" s="3">
        <f t="shared" si="25"/>
        <v>50000</v>
      </c>
      <c r="T57" s="6">
        <f t="shared" si="25"/>
        <v>18971000</v>
      </c>
      <c r="U57" s="3">
        <f t="shared" si="25"/>
        <v>50000</v>
      </c>
      <c r="V57" s="3">
        <f t="shared" si="25"/>
        <v>0</v>
      </c>
      <c r="Y57" s="300"/>
    </row>
    <row r="58" spans="1:25" s="98" customFormat="1" ht="11.25">
      <c r="A58" s="100"/>
      <c r="B58" s="100"/>
      <c r="C58" s="100">
        <v>220</v>
      </c>
      <c r="D58" s="2" t="s">
        <v>77</v>
      </c>
      <c r="E58" s="2" t="s">
        <v>21</v>
      </c>
      <c r="F58" s="23" t="s">
        <v>189</v>
      </c>
      <c r="G58" s="5">
        <v>19021000</v>
      </c>
      <c r="H58" s="5">
        <v>0</v>
      </c>
      <c r="I58" s="5">
        <f>G58+H58</f>
        <v>19021000</v>
      </c>
      <c r="J58" s="5">
        <v>0</v>
      </c>
      <c r="K58" s="5">
        <v>0</v>
      </c>
      <c r="L58" s="5">
        <v>0</v>
      </c>
      <c r="M58" s="5">
        <v>0</v>
      </c>
      <c r="N58" s="5">
        <f t="shared" si="2"/>
        <v>0</v>
      </c>
      <c r="O58" s="5">
        <v>50000</v>
      </c>
      <c r="P58" s="5">
        <v>0</v>
      </c>
      <c r="Q58" s="5"/>
      <c r="R58" s="5"/>
      <c r="S58" s="5">
        <f t="shared" si="6"/>
        <v>50000</v>
      </c>
      <c r="T58" s="7">
        <f>I58-S58</f>
        <v>18971000</v>
      </c>
      <c r="U58" s="5">
        <f>+I58-T58</f>
        <v>50000</v>
      </c>
      <c r="V58" s="5">
        <f>+S58-U58</f>
        <v>0</v>
      </c>
      <c r="Y58" s="300"/>
    </row>
    <row r="59" spans="1:25" s="83" customFormat="1" ht="11.25">
      <c r="A59" s="101"/>
      <c r="B59" s="101"/>
      <c r="C59" s="101"/>
      <c r="D59" s="17"/>
      <c r="E59" s="17"/>
      <c r="F59" s="18"/>
      <c r="G59" s="5"/>
      <c r="H59" s="5"/>
      <c r="I59" s="5"/>
      <c r="J59" s="5"/>
      <c r="K59" s="5"/>
      <c r="L59" s="5"/>
      <c r="M59" s="5"/>
      <c r="N59" s="5">
        <f t="shared" si="2"/>
        <v>0</v>
      </c>
      <c r="O59" s="5"/>
      <c r="P59" s="5"/>
      <c r="Q59" s="5"/>
      <c r="R59" s="5"/>
      <c r="S59" s="5">
        <f t="shared" si="6"/>
        <v>0</v>
      </c>
      <c r="T59" s="7"/>
      <c r="U59" s="5"/>
      <c r="V59" s="5"/>
      <c r="Y59" s="300"/>
    </row>
    <row r="60" spans="1:25" s="98" customFormat="1" ht="11.25">
      <c r="A60" s="102"/>
      <c r="B60" s="43">
        <v>230</v>
      </c>
      <c r="C60" s="43"/>
      <c r="D60" s="102"/>
      <c r="E60" s="102"/>
      <c r="F60" s="102" t="s">
        <v>36</v>
      </c>
      <c r="G60" s="3">
        <f aca="true" t="shared" si="26" ref="G60:V60">SUM(G61:G61)</f>
        <v>39800000</v>
      </c>
      <c r="H60" s="3">
        <f t="shared" si="26"/>
        <v>0</v>
      </c>
      <c r="I60" s="3">
        <f t="shared" si="26"/>
        <v>39800000</v>
      </c>
      <c r="J60" s="3">
        <f t="shared" si="26"/>
        <v>0</v>
      </c>
      <c r="K60" s="3">
        <f t="shared" si="26"/>
        <v>10950</v>
      </c>
      <c r="L60" s="3">
        <f t="shared" si="26"/>
        <v>0</v>
      </c>
      <c r="M60" s="3">
        <f t="shared" si="26"/>
        <v>0</v>
      </c>
      <c r="N60" s="3">
        <f t="shared" si="2"/>
        <v>10950</v>
      </c>
      <c r="O60" s="3">
        <f t="shared" si="26"/>
        <v>73410</v>
      </c>
      <c r="P60" s="3">
        <f t="shared" si="26"/>
        <v>7019110</v>
      </c>
      <c r="Q60" s="3">
        <f t="shared" si="26"/>
        <v>3900000</v>
      </c>
      <c r="R60" s="3">
        <f t="shared" si="26"/>
        <v>320000</v>
      </c>
      <c r="S60" s="3">
        <f t="shared" si="26"/>
        <v>11323470</v>
      </c>
      <c r="T60" s="6">
        <f t="shared" si="26"/>
        <v>28476530</v>
      </c>
      <c r="U60" s="3">
        <f t="shared" si="26"/>
        <v>11323470</v>
      </c>
      <c r="V60" s="3">
        <f t="shared" si="26"/>
        <v>0</v>
      </c>
      <c r="Y60" s="300"/>
    </row>
    <row r="61" spans="1:25" s="98" customFormat="1" ht="11.25">
      <c r="A61" s="103"/>
      <c r="B61" s="100"/>
      <c r="C61" s="100">
        <v>230</v>
      </c>
      <c r="D61" s="2" t="s">
        <v>77</v>
      </c>
      <c r="E61" s="2" t="s">
        <v>21</v>
      </c>
      <c r="F61" s="103" t="s">
        <v>36</v>
      </c>
      <c r="G61" s="5">
        <f>35000000+4800000</f>
        <v>39800000</v>
      </c>
      <c r="H61" s="5">
        <v>0</v>
      </c>
      <c r="I61" s="5">
        <f>G61+H61</f>
        <v>39800000</v>
      </c>
      <c r="J61" s="98">
        <v>0</v>
      </c>
      <c r="K61" s="5">
        <v>10950</v>
      </c>
      <c r="L61" s="5">
        <v>0</v>
      </c>
      <c r="M61" s="98">
        <v>0</v>
      </c>
      <c r="N61" s="98">
        <f t="shared" si="2"/>
        <v>10950</v>
      </c>
      <c r="O61" s="5">
        <v>73410</v>
      </c>
      <c r="P61" s="5">
        <v>7019110</v>
      </c>
      <c r="Q61" s="5">
        <f>+GENUINO!R75</f>
        <v>3900000</v>
      </c>
      <c r="R61" s="5">
        <f>+GENUINO!S75</f>
        <v>320000</v>
      </c>
      <c r="S61" s="5">
        <f t="shared" si="6"/>
        <v>11323470</v>
      </c>
      <c r="T61" s="7">
        <f>I61-S61</f>
        <v>28476530</v>
      </c>
      <c r="U61" s="5">
        <f>+I61-T61</f>
        <v>11323470</v>
      </c>
      <c r="V61" s="5">
        <f>+S61-U61</f>
        <v>0</v>
      </c>
      <c r="Y61" s="300"/>
    </row>
    <row r="62" spans="1:25" s="83" customFormat="1" ht="11.25">
      <c r="A62" s="104"/>
      <c r="B62" s="101"/>
      <c r="C62" s="101"/>
      <c r="D62" s="17"/>
      <c r="E62" s="17"/>
      <c r="F62" s="104"/>
      <c r="G62" s="5"/>
      <c r="H62" s="5"/>
      <c r="I62" s="5"/>
      <c r="J62" s="5"/>
      <c r="K62" s="5"/>
      <c r="L62" s="5"/>
      <c r="M62" s="5"/>
      <c r="N62" s="5">
        <f t="shared" si="2"/>
        <v>0</v>
      </c>
      <c r="O62" s="5"/>
      <c r="P62" s="5"/>
      <c r="Q62" s="5"/>
      <c r="R62" s="5"/>
      <c r="S62" s="5">
        <f t="shared" si="6"/>
        <v>0</v>
      </c>
      <c r="T62" s="7"/>
      <c r="U62" s="5"/>
      <c r="V62" s="5"/>
      <c r="Y62" s="300"/>
    </row>
    <row r="63" spans="1:25" s="98" customFormat="1" ht="11.25">
      <c r="A63" s="102"/>
      <c r="B63" s="43">
        <v>240</v>
      </c>
      <c r="C63" s="43"/>
      <c r="D63" s="102"/>
      <c r="E63" s="102"/>
      <c r="F63" s="102" t="s">
        <v>37</v>
      </c>
      <c r="G63" s="3">
        <f aca="true" t="shared" si="27" ref="G63:M63">SUM(G64:G67)</f>
        <v>24000000</v>
      </c>
      <c r="H63" s="3">
        <f t="shared" si="27"/>
        <v>0</v>
      </c>
      <c r="I63" s="3">
        <f t="shared" si="27"/>
        <v>24000000</v>
      </c>
      <c r="J63" s="3">
        <f t="shared" si="27"/>
        <v>244499</v>
      </c>
      <c r="K63" s="3">
        <f t="shared" si="27"/>
        <v>380000</v>
      </c>
      <c r="L63" s="3">
        <f t="shared" si="27"/>
        <v>0</v>
      </c>
      <c r="M63" s="3">
        <f t="shared" si="27"/>
        <v>0</v>
      </c>
      <c r="N63" s="3">
        <f t="shared" si="2"/>
        <v>624499</v>
      </c>
      <c r="O63" s="3">
        <f aca="true" t="shared" si="28" ref="O63:V63">SUM(O64:O67)</f>
        <v>1395000</v>
      </c>
      <c r="P63" s="3">
        <f t="shared" si="28"/>
        <v>770000</v>
      </c>
      <c r="Q63" s="3">
        <f t="shared" si="28"/>
        <v>7184200</v>
      </c>
      <c r="R63" s="3">
        <f t="shared" si="28"/>
        <v>9352000</v>
      </c>
      <c r="S63" s="3">
        <f t="shared" si="28"/>
        <v>19325699</v>
      </c>
      <c r="T63" s="6">
        <f t="shared" si="28"/>
        <v>4674301</v>
      </c>
      <c r="U63" s="3">
        <f t="shared" si="28"/>
        <v>19325699</v>
      </c>
      <c r="V63" s="3">
        <f t="shared" si="28"/>
        <v>0</v>
      </c>
      <c r="Y63" s="300"/>
    </row>
    <row r="64" spans="1:25" s="98" customFormat="1" ht="20.25">
      <c r="A64" s="103"/>
      <c r="B64" s="100"/>
      <c r="C64" s="100">
        <v>240</v>
      </c>
      <c r="D64" s="2" t="s">
        <v>77</v>
      </c>
      <c r="E64" s="2" t="s">
        <v>32</v>
      </c>
      <c r="F64" s="105" t="s">
        <v>152</v>
      </c>
      <c r="G64" s="106">
        <v>0</v>
      </c>
      <c r="H64" s="106">
        <v>0</v>
      </c>
      <c r="I64" s="106">
        <f>G64+H64</f>
        <v>0</v>
      </c>
      <c r="J64" s="5">
        <v>0</v>
      </c>
      <c r="K64" s="5">
        <v>0</v>
      </c>
      <c r="L64" s="5">
        <v>0</v>
      </c>
      <c r="M64" s="5">
        <v>0</v>
      </c>
      <c r="N64" s="5">
        <f t="shared" si="2"/>
        <v>0</v>
      </c>
      <c r="O64" s="5">
        <v>0</v>
      </c>
      <c r="P64" s="5">
        <v>0</v>
      </c>
      <c r="Q64" s="5"/>
      <c r="R64" s="5"/>
      <c r="S64" s="5">
        <f t="shared" si="6"/>
        <v>0</v>
      </c>
      <c r="T64" s="7">
        <v>0</v>
      </c>
      <c r="U64" s="5">
        <v>0</v>
      </c>
      <c r="V64" s="5">
        <v>0</v>
      </c>
      <c r="Y64" s="300"/>
    </row>
    <row r="65" spans="1:25" s="98" customFormat="1" ht="20.25">
      <c r="A65" s="103"/>
      <c r="B65" s="100"/>
      <c r="C65" s="100">
        <v>240</v>
      </c>
      <c r="D65" s="2" t="s">
        <v>77</v>
      </c>
      <c r="E65" s="2" t="s">
        <v>58</v>
      </c>
      <c r="F65" s="105" t="s">
        <v>153</v>
      </c>
      <c r="G65" s="106">
        <v>0</v>
      </c>
      <c r="H65" s="106">
        <v>0</v>
      </c>
      <c r="I65" s="106">
        <f>G65+H65</f>
        <v>0</v>
      </c>
      <c r="J65" s="5">
        <v>0</v>
      </c>
      <c r="K65" s="5">
        <v>0</v>
      </c>
      <c r="L65" s="5">
        <v>0</v>
      </c>
      <c r="M65" s="5">
        <v>0</v>
      </c>
      <c r="N65" s="5">
        <f t="shared" si="2"/>
        <v>0</v>
      </c>
      <c r="O65" s="5">
        <v>0</v>
      </c>
      <c r="P65" s="5">
        <v>0</v>
      </c>
      <c r="Q65" s="5"/>
      <c r="R65" s="5"/>
      <c r="S65" s="5">
        <f t="shared" si="6"/>
        <v>0</v>
      </c>
      <c r="T65" s="7">
        <v>0</v>
      </c>
      <c r="U65" s="5">
        <v>0</v>
      </c>
      <c r="V65" s="5">
        <v>0</v>
      </c>
      <c r="Y65" s="300"/>
    </row>
    <row r="66" spans="1:25" s="98" customFormat="1" ht="20.25">
      <c r="A66" s="103"/>
      <c r="B66" s="100"/>
      <c r="C66" s="100">
        <v>240</v>
      </c>
      <c r="D66" s="2" t="s">
        <v>77</v>
      </c>
      <c r="E66" s="2" t="s">
        <v>33</v>
      </c>
      <c r="F66" s="105" t="s">
        <v>153</v>
      </c>
      <c r="G66" s="106">
        <v>0</v>
      </c>
      <c r="H66" s="106">
        <v>0</v>
      </c>
      <c r="I66" s="106">
        <f>G66+H66</f>
        <v>0</v>
      </c>
      <c r="J66" s="5">
        <v>0</v>
      </c>
      <c r="K66" s="5">
        <v>0</v>
      </c>
      <c r="L66" s="5">
        <v>0</v>
      </c>
      <c r="M66" s="5">
        <v>0</v>
      </c>
      <c r="N66" s="5">
        <f t="shared" si="2"/>
        <v>0</v>
      </c>
      <c r="O66" s="5">
        <v>0</v>
      </c>
      <c r="P66" s="5">
        <v>0</v>
      </c>
      <c r="Q66" s="5"/>
      <c r="R66" s="5"/>
      <c r="S66" s="5">
        <f t="shared" si="6"/>
        <v>0</v>
      </c>
      <c r="T66" s="7">
        <v>0</v>
      </c>
      <c r="U66" s="5">
        <v>0</v>
      </c>
      <c r="V66" s="5">
        <v>0</v>
      </c>
      <c r="Y66" s="300"/>
    </row>
    <row r="67" spans="1:25" s="98" customFormat="1" ht="20.25">
      <c r="A67" s="103"/>
      <c r="B67" s="100"/>
      <c r="C67" s="100">
        <v>240</v>
      </c>
      <c r="D67" s="2" t="s">
        <v>77</v>
      </c>
      <c r="E67" s="2" t="s">
        <v>21</v>
      </c>
      <c r="F67" s="105" t="s">
        <v>153</v>
      </c>
      <c r="G67" s="106">
        <v>24000000</v>
      </c>
      <c r="H67" s="106">
        <v>0</v>
      </c>
      <c r="I67" s="106">
        <f>G67+H67</f>
        <v>24000000</v>
      </c>
      <c r="J67" s="5">
        <v>244499</v>
      </c>
      <c r="K67" s="5">
        <v>380000</v>
      </c>
      <c r="L67" s="5">
        <v>0</v>
      </c>
      <c r="M67" s="5">
        <v>0</v>
      </c>
      <c r="N67" s="5">
        <f t="shared" si="2"/>
        <v>624499</v>
      </c>
      <c r="O67" s="5">
        <v>1395000</v>
      </c>
      <c r="P67" s="5">
        <v>770000</v>
      </c>
      <c r="Q67" s="5">
        <f>+GENUINO!R80</f>
        <v>7184200</v>
      </c>
      <c r="R67" s="5">
        <f>+GENUINO!S80</f>
        <v>9352000</v>
      </c>
      <c r="S67" s="5">
        <f t="shared" si="6"/>
        <v>19325699</v>
      </c>
      <c r="T67" s="7">
        <f>I67-S67</f>
        <v>4674301</v>
      </c>
      <c r="U67" s="5">
        <f>+I67-T67</f>
        <v>19325699</v>
      </c>
      <c r="V67" s="5">
        <f>+S67-U67</f>
        <v>0</v>
      </c>
      <c r="Y67" s="300"/>
    </row>
    <row r="68" spans="1:25" s="83" customFormat="1" ht="11.25">
      <c r="A68" s="104"/>
      <c r="B68" s="101"/>
      <c r="C68" s="101"/>
      <c r="D68" s="104"/>
      <c r="E68" s="104"/>
      <c r="F68" s="104"/>
      <c r="G68" s="5"/>
      <c r="H68" s="5"/>
      <c r="I68" s="5"/>
      <c r="J68" s="5"/>
      <c r="K68" s="5"/>
      <c r="L68" s="5"/>
      <c r="M68" s="5"/>
      <c r="N68" s="5">
        <f t="shared" si="2"/>
        <v>0</v>
      </c>
      <c r="O68" s="5"/>
      <c r="P68" s="5"/>
      <c r="Q68" s="5"/>
      <c r="R68" s="5"/>
      <c r="S68" s="5">
        <f t="shared" si="6"/>
        <v>0</v>
      </c>
      <c r="T68" s="7"/>
      <c r="U68" s="5"/>
      <c r="V68" s="5"/>
      <c r="Y68" s="300"/>
    </row>
    <row r="69" spans="1:25" s="98" customFormat="1" ht="11.25">
      <c r="A69" s="102"/>
      <c r="B69" s="43">
        <v>250</v>
      </c>
      <c r="C69" s="43"/>
      <c r="D69" s="102"/>
      <c r="E69" s="102"/>
      <c r="F69" s="102" t="s">
        <v>38</v>
      </c>
      <c r="G69" s="3">
        <f aca="true" t="shared" si="29" ref="G69:M69">SUM(G70:G72)</f>
        <v>13860000</v>
      </c>
      <c r="H69" s="3">
        <f t="shared" si="29"/>
        <v>0</v>
      </c>
      <c r="I69" s="3">
        <f t="shared" si="29"/>
        <v>13860000</v>
      </c>
      <c r="J69" s="3">
        <f t="shared" si="29"/>
        <v>0</v>
      </c>
      <c r="K69" s="3">
        <f t="shared" si="29"/>
        <v>0</v>
      </c>
      <c r="L69" s="3">
        <f t="shared" si="29"/>
        <v>0</v>
      </c>
      <c r="M69" s="3">
        <f t="shared" si="29"/>
        <v>2382168</v>
      </c>
      <c r="N69" s="3">
        <f t="shared" si="2"/>
        <v>2382168</v>
      </c>
      <c r="O69" s="3">
        <f aca="true" t="shared" si="30" ref="O69:V69">SUM(O70:O72)</f>
        <v>1382168</v>
      </c>
      <c r="P69" s="3">
        <f t="shared" si="30"/>
        <v>1382168</v>
      </c>
      <c r="Q69" s="3">
        <f t="shared" si="30"/>
        <v>1382168</v>
      </c>
      <c r="R69" s="3">
        <f t="shared" si="30"/>
        <v>332168</v>
      </c>
      <c r="S69" s="3">
        <f t="shared" si="30"/>
        <v>6860840</v>
      </c>
      <c r="T69" s="6">
        <f t="shared" si="30"/>
        <v>6999160</v>
      </c>
      <c r="U69" s="3">
        <f t="shared" si="30"/>
        <v>6860840</v>
      </c>
      <c r="V69" s="3">
        <f t="shared" si="30"/>
        <v>0</v>
      </c>
      <c r="Y69" s="300"/>
    </row>
    <row r="70" spans="1:25" s="98" customFormat="1" ht="11.25">
      <c r="A70" s="103"/>
      <c r="B70" s="100"/>
      <c r="C70" s="100">
        <v>250</v>
      </c>
      <c r="D70" s="2" t="s">
        <v>77</v>
      </c>
      <c r="E70" s="2" t="s">
        <v>32</v>
      </c>
      <c r="F70" s="103" t="s">
        <v>38</v>
      </c>
      <c r="G70" s="5">
        <v>0</v>
      </c>
      <c r="H70" s="5">
        <v>0</v>
      </c>
      <c r="I70" s="5">
        <f>G70+H70</f>
        <v>0</v>
      </c>
      <c r="J70" s="5">
        <v>0</v>
      </c>
      <c r="K70" s="5">
        <v>0</v>
      </c>
      <c r="L70" s="5">
        <v>0</v>
      </c>
      <c r="M70" s="5">
        <v>0</v>
      </c>
      <c r="N70" s="5">
        <f t="shared" si="2"/>
        <v>0</v>
      </c>
      <c r="O70" s="5">
        <v>0</v>
      </c>
      <c r="P70" s="5">
        <v>0</v>
      </c>
      <c r="Q70" s="5"/>
      <c r="R70" s="5"/>
      <c r="S70" s="5">
        <f t="shared" si="6"/>
        <v>0</v>
      </c>
      <c r="T70" s="7">
        <v>0</v>
      </c>
      <c r="U70" s="5">
        <v>0</v>
      </c>
      <c r="V70" s="5">
        <v>0</v>
      </c>
      <c r="Y70" s="300"/>
    </row>
    <row r="71" spans="1:25" s="98" customFormat="1" ht="11.25">
      <c r="A71" s="103"/>
      <c r="B71" s="100"/>
      <c r="C71" s="100">
        <v>250</v>
      </c>
      <c r="D71" s="2" t="s">
        <v>77</v>
      </c>
      <c r="E71" s="2" t="s">
        <v>21</v>
      </c>
      <c r="F71" s="103" t="s">
        <v>38</v>
      </c>
      <c r="G71" s="5">
        <v>13860000</v>
      </c>
      <c r="H71" s="5">
        <v>0</v>
      </c>
      <c r="I71" s="5">
        <f>G71+H71</f>
        <v>13860000</v>
      </c>
      <c r="J71" s="5">
        <v>0</v>
      </c>
      <c r="K71" s="5">
        <v>0</v>
      </c>
      <c r="L71" s="5">
        <v>0</v>
      </c>
      <c r="M71" s="5">
        <v>2382168</v>
      </c>
      <c r="N71" s="5">
        <f t="shared" si="2"/>
        <v>2382168</v>
      </c>
      <c r="O71" s="5">
        <v>1382168</v>
      </c>
      <c r="P71" s="5">
        <v>1382168</v>
      </c>
      <c r="Q71" s="5">
        <f>+GENUINO!R84</f>
        <v>1382168</v>
      </c>
      <c r="R71" s="5">
        <f>+GENUINO!S84</f>
        <v>332168</v>
      </c>
      <c r="S71" s="5">
        <f t="shared" si="6"/>
        <v>6860840</v>
      </c>
      <c r="T71" s="7">
        <f>I71-S71</f>
        <v>6999160</v>
      </c>
      <c r="U71" s="5">
        <f>+I71-T71</f>
        <v>6860840</v>
      </c>
      <c r="V71" s="5">
        <f>+S71-U71</f>
        <v>0</v>
      </c>
      <c r="Y71" s="300"/>
    </row>
    <row r="72" spans="1:25" s="83" customFormat="1" ht="11.25">
      <c r="A72" s="104"/>
      <c r="B72" s="101"/>
      <c r="C72" s="101"/>
      <c r="D72" s="17"/>
      <c r="E72" s="17"/>
      <c r="F72" s="104"/>
      <c r="G72" s="5"/>
      <c r="H72" s="5"/>
      <c r="I72" s="5"/>
      <c r="J72" s="5"/>
      <c r="K72" s="5"/>
      <c r="L72" s="5"/>
      <c r="M72" s="5"/>
      <c r="N72" s="5">
        <f t="shared" si="2"/>
        <v>0</v>
      </c>
      <c r="O72" s="5"/>
      <c r="P72" s="5"/>
      <c r="Q72" s="5"/>
      <c r="R72" s="5"/>
      <c r="S72" s="5">
        <f t="shared" si="6"/>
        <v>0</v>
      </c>
      <c r="T72" s="7"/>
      <c r="U72" s="5"/>
      <c r="V72" s="5"/>
      <c r="Y72" s="300"/>
    </row>
    <row r="73" spans="1:25" s="98" customFormat="1" ht="11.25">
      <c r="A73" s="102"/>
      <c r="B73" s="43">
        <v>260</v>
      </c>
      <c r="C73" s="43"/>
      <c r="D73" s="102"/>
      <c r="E73" s="102"/>
      <c r="F73" s="102" t="s">
        <v>39</v>
      </c>
      <c r="G73" s="3">
        <f aca="true" t="shared" si="31" ref="G73:M73">SUM(G74:G77)</f>
        <v>11544000</v>
      </c>
      <c r="H73" s="3">
        <f t="shared" si="31"/>
        <v>40000000</v>
      </c>
      <c r="I73" s="3">
        <f t="shared" si="31"/>
        <v>51544000</v>
      </c>
      <c r="J73" s="3">
        <f t="shared" si="31"/>
        <v>0</v>
      </c>
      <c r="K73" s="3">
        <f t="shared" si="31"/>
        <v>0</v>
      </c>
      <c r="L73" s="3">
        <f t="shared" si="31"/>
        <v>0</v>
      </c>
      <c r="M73" s="3">
        <f t="shared" si="31"/>
        <v>0</v>
      </c>
      <c r="N73" s="3">
        <f t="shared" si="2"/>
        <v>0</v>
      </c>
      <c r="O73" s="3">
        <f aca="true" t="shared" si="32" ref="O73:V73">SUM(O74:O77)</f>
        <v>40033000</v>
      </c>
      <c r="P73" s="3">
        <f t="shared" si="32"/>
        <v>15000</v>
      </c>
      <c r="Q73" s="3">
        <f t="shared" si="32"/>
        <v>3576983</v>
      </c>
      <c r="R73" s="3">
        <f>SUM(R74:R77)</f>
        <v>6697193</v>
      </c>
      <c r="S73" s="3">
        <f t="shared" si="32"/>
        <v>50322176</v>
      </c>
      <c r="T73" s="6">
        <f t="shared" si="32"/>
        <v>1221824</v>
      </c>
      <c r="U73" s="3">
        <f t="shared" si="32"/>
        <v>50322176</v>
      </c>
      <c r="V73" s="3">
        <f t="shared" si="32"/>
        <v>0</v>
      </c>
      <c r="Y73" s="300"/>
    </row>
    <row r="74" spans="1:25" s="98" customFormat="1" ht="11.25">
      <c r="A74" s="103"/>
      <c r="B74" s="100"/>
      <c r="C74" s="100">
        <v>260</v>
      </c>
      <c r="D74" s="2" t="s">
        <v>77</v>
      </c>
      <c r="E74" s="2" t="s">
        <v>32</v>
      </c>
      <c r="F74" s="103" t="s">
        <v>39</v>
      </c>
      <c r="G74" s="5">
        <v>0</v>
      </c>
      <c r="H74" s="5">
        <v>40000000</v>
      </c>
      <c r="I74" s="5">
        <f>G74+H74</f>
        <v>40000000</v>
      </c>
      <c r="J74" s="5">
        <v>0</v>
      </c>
      <c r="K74" s="5">
        <v>0</v>
      </c>
      <c r="L74" s="5">
        <v>0</v>
      </c>
      <c r="M74" s="5">
        <v>0</v>
      </c>
      <c r="N74" s="5">
        <f t="shared" si="2"/>
        <v>0</v>
      </c>
      <c r="O74" s="5">
        <v>40000000</v>
      </c>
      <c r="P74" s="5">
        <v>0</v>
      </c>
      <c r="Q74" s="5"/>
      <c r="R74" s="5"/>
      <c r="S74" s="5">
        <f t="shared" si="6"/>
        <v>40000000</v>
      </c>
      <c r="T74" s="7">
        <f>I74-S74</f>
        <v>0</v>
      </c>
      <c r="U74" s="5">
        <f>+I74-T74</f>
        <v>40000000</v>
      </c>
      <c r="V74" s="5">
        <v>0</v>
      </c>
      <c r="Y74" s="300"/>
    </row>
    <row r="75" spans="1:25" s="98" customFormat="1" ht="11.25">
      <c r="A75" s="103"/>
      <c r="B75" s="100"/>
      <c r="C75" s="100">
        <v>260</v>
      </c>
      <c r="D75" s="2" t="s">
        <v>77</v>
      </c>
      <c r="E75" s="2" t="s">
        <v>33</v>
      </c>
      <c r="F75" s="103" t="s">
        <v>39</v>
      </c>
      <c r="G75" s="5">
        <v>0</v>
      </c>
      <c r="H75" s="5">
        <v>0</v>
      </c>
      <c r="I75" s="5">
        <f>G75+H75</f>
        <v>0</v>
      </c>
      <c r="J75" s="5">
        <v>0</v>
      </c>
      <c r="K75" s="5">
        <v>0</v>
      </c>
      <c r="L75" s="5">
        <v>0</v>
      </c>
      <c r="M75" s="5">
        <v>0</v>
      </c>
      <c r="N75" s="5">
        <f t="shared" si="2"/>
        <v>0</v>
      </c>
      <c r="O75" s="5">
        <v>0</v>
      </c>
      <c r="P75" s="5">
        <v>0</v>
      </c>
      <c r="Q75" s="5"/>
      <c r="R75" s="5"/>
      <c r="S75" s="5">
        <f t="shared" si="6"/>
        <v>0</v>
      </c>
      <c r="T75" s="7">
        <f>I75-S75</f>
        <v>0</v>
      </c>
      <c r="U75" s="5">
        <f>+I75-T75</f>
        <v>0</v>
      </c>
      <c r="V75" s="5">
        <v>0</v>
      </c>
      <c r="Y75" s="300"/>
    </row>
    <row r="76" spans="1:25" s="98" customFormat="1" ht="11.25">
      <c r="A76" s="103"/>
      <c r="B76" s="100"/>
      <c r="C76" s="100">
        <v>260</v>
      </c>
      <c r="D76" s="2" t="s">
        <v>77</v>
      </c>
      <c r="E76" s="2" t="s">
        <v>21</v>
      </c>
      <c r="F76" s="103" t="s">
        <v>39</v>
      </c>
      <c r="G76" s="5">
        <v>11544000</v>
      </c>
      <c r="H76" s="5">
        <v>0</v>
      </c>
      <c r="I76" s="5">
        <f>G76+H76</f>
        <v>11544000</v>
      </c>
      <c r="J76" s="5">
        <v>0</v>
      </c>
      <c r="K76" s="5">
        <v>0</v>
      </c>
      <c r="L76" s="5">
        <v>0</v>
      </c>
      <c r="M76" s="5">
        <v>0</v>
      </c>
      <c r="N76" s="5">
        <f t="shared" si="2"/>
        <v>0</v>
      </c>
      <c r="O76" s="5">
        <v>33000</v>
      </c>
      <c r="P76" s="5">
        <v>15000</v>
      </c>
      <c r="Q76" s="5">
        <f>+GENUINO!R89</f>
        <v>3576983</v>
      </c>
      <c r="R76" s="5">
        <f>+GENUINO!S89</f>
        <v>6697193</v>
      </c>
      <c r="S76" s="5">
        <f t="shared" si="6"/>
        <v>10322176</v>
      </c>
      <c r="T76" s="7">
        <f>I76-S76</f>
        <v>1221824</v>
      </c>
      <c r="U76" s="5">
        <f>+I76-T76</f>
        <v>10322176</v>
      </c>
      <c r="V76" s="5">
        <v>0</v>
      </c>
      <c r="Y76" s="300"/>
    </row>
    <row r="77" spans="1:25" s="83" customFormat="1" ht="11.25">
      <c r="A77" s="104"/>
      <c r="B77" s="101"/>
      <c r="C77" s="101"/>
      <c r="D77" s="17"/>
      <c r="E77" s="17"/>
      <c r="F77" s="104"/>
      <c r="G77" s="5"/>
      <c r="H77" s="5"/>
      <c r="I77" s="5"/>
      <c r="J77" s="5"/>
      <c r="K77" s="5"/>
      <c r="L77" s="5"/>
      <c r="M77" s="5"/>
      <c r="N77" s="5">
        <f t="shared" si="2"/>
        <v>0</v>
      </c>
      <c r="O77" s="5"/>
      <c r="P77" s="5"/>
      <c r="Q77" s="5"/>
      <c r="R77" s="5"/>
      <c r="S77" s="5">
        <f t="shared" si="6"/>
        <v>0</v>
      </c>
      <c r="T77" s="7"/>
      <c r="U77" s="5"/>
      <c r="V77" s="5"/>
      <c r="Y77" s="300"/>
    </row>
    <row r="78" spans="1:25" s="98" customFormat="1" ht="11.25">
      <c r="A78" s="102"/>
      <c r="B78" s="43">
        <v>270</v>
      </c>
      <c r="C78" s="43"/>
      <c r="D78" s="1"/>
      <c r="E78" s="1"/>
      <c r="F78" s="102" t="s">
        <v>40</v>
      </c>
      <c r="G78" s="3">
        <f aca="true" t="shared" si="33" ref="G78:M78">SUM(G79:G83)</f>
        <v>0</v>
      </c>
      <c r="H78" s="3">
        <f t="shared" si="33"/>
        <v>0</v>
      </c>
      <c r="I78" s="3">
        <f t="shared" si="33"/>
        <v>0</v>
      </c>
      <c r="J78" s="3">
        <f t="shared" si="33"/>
        <v>0</v>
      </c>
      <c r="K78" s="3">
        <f t="shared" si="33"/>
        <v>0</v>
      </c>
      <c r="L78" s="3">
        <f t="shared" si="33"/>
        <v>0</v>
      </c>
      <c r="M78" s="3">
        <f t="shared" si="33"/>
        <v>0</v>
      </c>
      <c r="N78" s="3">
        <f t="shared" si="2"/>
        <v>0</v>
      </c>
      <c r="O78" s="3">
        <f aca="true" t="shared" si="34" ref="O78:V78">SUM(O79:O83)</f>
        <v>0</v>
      </c>
      <c r="P78" s="3">
        <f t="shared" si="34"/>
        <v>0</v>
      </c>
      <c r="Q78" s="3"/>
      <c r="R78" s="3"/>
      <c r="S78" s="3">
        <f t="shared" si="6"/>
        <v>0</v>
      </c>
      <c r="T78" s="6">
        <f t="shared" si="34"/>
        <v>0</v>
      </c>
      <c r="U78" s="3">
        <f t="shared" si="34"/>
        <v>0</v>
      </c>
      <c r="V78" s="3">
        <f t="shared" si="34"/>
        <v>0</v>
      </c>
      <c r="Y78" s="300"/>
    </row>
    <row r="79" spans="1:25" s="98" customFormat="1" ht="11.25">
      <c r="A79" s="103"/>
      <c r="B79" s="100"/>
      <c r="C79" s="100">
        <v>270</v>
      </c>
      <c r="D79" s="2" t="s">
        <v>77</v>
      </c>
      <c r="E79" s="2" t="s">
        <v>32</v>
      </c>
      <c r="F79" s="103" t="s">
        <v>40</v>
      </c>
      <c r="G79" s="5">
        <v>0</v>
      </c>
      <c r="H79" s="5">
        <v>0</v>
      </c>
      <c r="I79" s="5">
        <f>G79+H79</f>
        <v>0</v>
      </c>
      <c r="J79" s="5">
        <v>0</v>
      </c>
      <c r="K79" s="5">
        <v>0</v>
      </c>
      <c r="L79" s="5">
        <v>0</v>
      </c>
      <c r="M79" s="5">
        <v>0</v>
      </c>
      <c r="N79" s="5">
        <f t="shared" si="2"/>
        <v>0</v>
      </c>
      <c r="O79" s="5">
        <v>0</v>
      </c>
      <c r="P79" s="5">
        <v>0</v>
      </c>
      <c r="Q79" s="5"/>
      <c r="R79" s="5"/>
      <c r="S79" s="5">
        <f t="shared" si="6"/>
        <v>0</v>
      </c>
      <c r="T79" s="7">
        <v>0</v>
      </c>
      <c r="U79" s="5">
        <v>0</v>
      </c>
      <c r="V79" s="5">
        <v>0</v>
      </c>
      <c r="Y79" s="300"/>
    </row>
    <row r="80" spans="1:25" s="98" customFormat="1" ht="11.25">
      <c r="A80" s="103"/>
      <c r="B80" s="100"/>
      <c r="C80" s="100">
        <v>270</v>
      </c>
      <c r="D80" s="2" t="s">
        <v>77</v>
      </c>
      <c r="E80" s="2" t="s">
        <v>58</v>
      </c>
      <c r="F80" s="103" t="s">
        <v>40</v>
      </c>
      <c r="G80" s="5">
        <v>0</v>
      </c>
      <c r="H80" s="5">
        <v>0</v>
      </c>
      <c r="I80" s="5">
        <f>G80+H80</f>
        <v>0</v>
      </c>
      <c r="J80" s="5">
        <v>0</v>
      </c>
      <c r="K80" s="5">
        <v>0</v>
      </c>
      <c r="L80" s="5">
        <v>0</v>
      </c>
      <c r="M80" s="5">
        <v>0</v>
      </c>
      <c r="N80" s="5">
        <f t="shared" si="2"/>
        <v>0</v>
      </c>
      <c r="O80" s="5">
        <v>0</v>
      </c>
      <c r="P80" s="5">
        <v>0</v>
      </c>
      <c r="Q80" s="5"/>
      <c r="R80" s="5"/>
      <c r="S80" s="5">
        <f t="shared" si="6"/>
        <v>0</v>
      </c>
      <c r="T80" s="7">
        <v>0</v>
      </c>
      <c r="U80" s="5">
        <v>0</v>
      </c>
      <c r="V80" s="5">
        <v>0</v>
      </c>
      <c r="Y80" s="300"/>
    </row>
    <row r="81" spans="1:25" s="98" customFormat="1" ht="11.25">
      <c r="A81" s="103"/>
      <c r="B81" s="100"/>
      <c r="C81" s="100">
        <v>270</v>
      </c>
      <c r="D81" s="2" t="s">
        <v>77</v>
      </c>
      <c r="E81" s="2" t="s">
        <v>33</v>
      </c>
      <c r="F81" s="103" t="s">
        <v>40</v>
      </c>
      <c r="G81" s="5">
        <v>0</v>
      </c>
      <c r="H81" s="5">
        <v>0</v>
      </c>
      <c r="I81" s="5">
        <f>G81+H81</f>
        <v>0</v>
      </c>
      <c r="J81" s="5">
        <v>0</v>
      </c>
      <c r="K81" s="5">
        <v>0</v>
      </c>
      <c r="L81" s="5">
        <v>0</v>
      </c>
      <c r="M81" s="5">
        <v>0</v>
      </c>
      <c r="N81" s="5">
        <f t="shared" si="2"/>
        <v>0</v>
      </c>
      <c r="O81" s="5">
        <v>0</v>
      </c>
      <c r="P81" s="5">
        <v>0</v>
      </c>
      <c r="Q81" s="5"/>
      <c r="R81" s="5"/>
      <c r="S81" s="5">
        <f t="shared" si="6"/>
        <v>0</v>
      </c>
      <c r="T81" s="7">
        <v>0</v>
      </c>
      <c r="U81" s="5">
        <v>0</v>
      </c>
      <c r="V81" s="5">
        <v>0</v>
      </c>
      <c r="Y81" s="300"/>
    </row>
    <row r="82" spans="1:25" s="98" customFormat="1" ht="11.25">
      <c r="A82" s="103"/>
      <c r="B82" s="100"/>
      <c r="C82" s="100">
        <v>270</v>
      </c>
      <c r="D82" s="2" t="s">
        <v>77</v>
      </c>
      <c r="E82" s="2" t="s">
        <v>21</v>
      </c>
      <c r="F82" s="103" t="s">
        <v>40</v>
      </c>
      <c r="G82" s="5">
        <v>0</v>
      </c>
      <c r="H82" s="5">
        <v>0</v>
      </c>
      <c r="I82" s="5">
        <f>G82+H82</f>
        <v>0</v>
      </c>
      <c r="J82" s="5">
        <v>0</v>
      </c>
      <c r="K82" s="5">
        <v>0</v>
      </c>
      <c r="L82" s="5">
        <v>0</v>
      </c>
      <c r="M82" s="5">
        <v>0</v>
      </c>
      <c r="N82" s="5">
        <f aca="true" t="shared" si="35" ref="N82:N144">+J82+K82+L82+M82</f>
        <v>0</v>
      </c>
      <c r="O82" s="5">
        <v>0</v>
      </c>
      <c r="P82" s="5">
        <v>0</v>
      </c>
      <c r="Q82" s="5"/>
      <c r="R82" s="5"/>
      <c r="S82" s="5">
        <f aca="true" t="shared" si="36" ref="S82:S144">+N82+O82+P82+Q82+R82</f>
        <v>0</v>
      </c>
      <c r="T82" s="7">
        <v>0</v>
      </c>
      <c r="U82" s="5">
        <v>0</v>
      </c>
      <c r="V82" s="5">
        <v>0</v>
      </c>
      <c r="Y82" s="300"/>
    </row>
    <row r="83" spans="1:25" s="83" customFormat="1" ht="11.25">
      <c r="A83" s="104"/>
      <c r="B83" s="101"/>
      <c r="C83" s="101"/>
      <c r="D83" s="17"/>
      <c r="E83" s="17"/>
      <c r="F83" s="104"/>
      <c r="G83" s="5"/>
      <c r="H83" s="5"/>
      <c r="I83" s="5"/>
      <c r="J83" s="5"/>
      <c r="K83" s="5"/>
      <c r="L83" s="5"/>
      <c r="M83" s="5"/>
      <c r="N83" s="5">
        <f t="shared" si="35"/>
        <v>0</v>
      </c>
      <c r="O83" s="5"/>
      <c r="P83" s="5"/>
      <c r="Q83" s="5"/>
      <c r="R83" s="5"/>
      <c r="S83" s="5">
        <f t="shared" si="36"/>
        <v>0</v>
      </c>
      <c r="T83" s="7"/>
      <c r="U83" s="5"/>
      <c r="V83" s="5"/>
      <c r="Y83" s="300"/>
    </row>
    <row r="84" spans="1:25" s="98" customFormat="1" ht="11.25">
      <c r="A84" s="102"/>
      <c r="B84" s="43">
        <v>280</v>
      </c>
      <c r="C84" s="43"/>
      <c r="D84" s="1"/>
      <c r="E84" s="1"/>
      <c r="F84" s="102" t="s">
        <v>48</v>
      </c>
      <c r="G84" s="3">
        <f aca="true" t="shared" si="37" ref="G84:M84">SUM(G85:G87)</f>
        <v>25415643</v>
      </c>
      <c r="H84" s="3">
        <f t="shared" si="37"/>
        <v>20000000</v>
      </c>
      <c r="I84" s="3">
        <f t="shared" si="37"/>
        <v>45415643</v>
      </c>
      <c r="J84" s="3">
        <f t="shared" si="37"/>
        <v>1404673</v>
      </c>
      <c r="K84" s="3">
        <f t="shared" si="37"/>
        <v>645750</v>
      </c>
      <c r="L84" s="3">
        <f t="shared" si="37"/>
        <v>0</v>
      </c>
      <c r="M84" s="3">
        <f t="shared" si="37"/>
        <v>0</v>
      </c>
      <c r="N84" s="3">
        <f t="shared" si="35"/>
        <v>2050423</v>
      </c>
      <c r="O84" s="3">
        <f aca="true" t="shared" si="38" ref="O84:V84">SUM(O85:O87)</f>
        <v>4799986</v>
      </c>
      <c r="P84" s="3">
        <f t="shared" si="38"/>
        <v>746300</v>
      </c>
      <c r="Q84" s="3">
        <f t="shared" si="38"/>
        <v>35945900</v>
      </c>
      <c r="R84" s="3">
        <f t="shared" si="38"/>
        <v>991140</v>
      </c>
      <c r="S84" s="3">
        <f t="shared" si="38"/>
        <v>44533749</v>
      </c>
      <c r="T84" s="6">
        <f t="shared" si="38"/>
        <v>881894</v>
      </c>
      <c r="U84" s="3">
        <f t="shared" si="38"/>
        <v>44533749</v>
      </c>
      <c r="V84" s="3">
        <f t="shared" si="38"/>
        <v>0</v>
      </c>
      <c r="Y84" s="300"/>
    </row>
    <row r="85" spans="1:25" s="98" customFormat="1" ht="11.25">
      <c r="A85" s="103"/>
      <c r="B85" s="100"/>
      <c r="C85" s="100">
        <v>280</v>
      </c>
      <c r="D85" s="2" t="s">
        <v>77</v>
      </c>
      <c r="E85" s="2" t="s">
        <v>32</v>
      </c>
      <c r="F85" s="103" t="s">
        <v>48</v>
      </c>
      <c r="G85" s="5">
        <v>0</v>
      </c>
      <c r="H85" s="5">
        <v>0</v>
      </c>
      <c r="I85" s="5">
        <f>G85+H85</f>
        <v>0</v>
      </c>
      <c r="J85" s="5">
        <v>0</v>
      </c>
      <c r="K85" s="5">
        <v>0</v>
      </c>
      <c r="L85" s="5">
        <v>0</v>
      </c>
      <c r="M85" s="5">
        <v>0</v>
      </c>
      <c r="N85" s="5">
        <f t="shared" si="35"/>
        <v>0</v>
      </c>
      <c r="O85" s="5">
        <v>0</v>
      </c>
      <c r="P85" s="5">
        <v>0</v>
      </c>
      <c r="Q85" s="5"/>
      <c r="R85" s="5"/>
      <c r="S85" s="5">
        <f t="shared" si="36"/>
        <v>0</v>
      </c>
      <c r="T85" s="7">
        <v>0</v>
      </c>
      <c r="U85" s="5">
        <v>0</v>
      </c>
      <c r="V85" s="5">
        <v>0</v>
      </c>
      <c r="Y85" s="300"/>
    </row>
    <row r="86" spans="1:25" s="98" customFormat="1" ht="11.25">
      <c r="A86" s="103"/>
      <c r="B86" s="100"/>
      <c r="C86" s="100">
        <v>280</v>
      </c>
      <c r="D86" s="2" t="s">
        <v>77</v>
      </c>
      <c r="E86" s="2" t="s">
        <v>21</v>
      </c>
      <c r="F86" s="103" t="s">
        <v>48</v>
      </c>
      <c r="G86" s="5">
        <v>25415643</v>
      </c>
      <c r="H86" s="5">
        <v>20000000</v>
      </c>
      <c r="I86" s="5">
        <f>G86+H86</f>
        <v>45415643</v>
      </c>
      <c r="J86" s="5">
        <v>1404673</v>
      </c>
      <c r="K86" s="5">
        <v>645750</v>
      </c>
      <c r="L86" s="5">
        <v>0</v>
      </c>
      <c r="M86" s="5">
        <v>0</v>
      </c>
      <c r="N86" s="5">
        <f t="shared" si="35"/>
        <v>2050423</v>
      </c>
      <c r="O86" s="5">
        <v>4799986</v>
      </c>
      <c r="P86" s="5">
        <v>746300</v>
      </c>
      <c r="Q86" s="5">
        <f>+GENUINO!R101</f>
        <v>35945900</v>
      </c>
      <c r="R86" s="5">
        <f>+GENUINO!S101</f>
        <v>991140</v>
      </c>
      <c r="S86" s="5">
        <f t="shared" si="36"/>
        <v>44533749</v>
      </c>
      <c r="T86" s="7">
        <f>I86-S86</f>
        <v>881894</v>
      </c>
      <c r="U86" s="5">
        <f>+S86</f>
        <v>44533749</v>
      </c>
      <c r="V86" s="5">
        <v>0</v>
      </c>
      <c r="Y86" s="300"/>
    </row>
    <row r="87" spans="1:25" s="83" customFormat="1" ht="11.25">
      <c r="A87" s="104"/>
      <c r="B87" s="101"/>
      <c r="C87" s="101"/>
      <c r="D87" s="17"/>
      <c r="E87" s="17"/>
      <c r="F87" s="104"/>
      <c r="G87" s="5"/>
      <c r="H87" s="5"/>
      <c r="I87" s="5"/>
      <c r="J87" s="5"/>
      <c r="K87" s="5"/>
      <c r="L87" s="5"/>
      <c r="M87" s="5"/>
      <c r="N87" s="5">
        <f t="shared" si="35"/>
        <v>0</v>
      </c>
      <c r="O87" s="5"/>
      <c r="P87" s="5"/>
      <c r="Q87" s="5"/>
      <c r="R87" s="5"/>
      <c r="S87" s="5">
        <f t="shared" si="36"/>
        <v>0</v>
      </c>
      <c r="T87" s="7"/>
      <c r="U87" s="5"/>
      <c r="V87" s="5"/>
      <c r="Y87" s="300"/>
    </row>
    <row r="88" spans="1:25" s="98" customFormat="1" ht="11.25">
      <c r="A88" s="43"/>
      <c r="B88" s="43">
        <v>290</v>
      </c>
      <c r="C88" s="43"/>
      <c r="D88" s="1"/>
      <c r="E88" s="1"/>
      <c r="F88" s="13" t="s">
        <v>49</v>
      </c>
      <c r="G88" s="3">
        <f aca="true" t="shared" si="39" ref="G88:M88">SUM(G89:G90)</f>
        <v>0</v>
      </c>
      <c r="H88" s="3">
        <f t="shared" si="39"/>
        <v>0</v>
      </c>
      <c r="I88" s="3">
        <f t="shared" si="39"/>
        <v>0</v>
      </c>
      <c r="J88" s="3">
        <f t="shared" si="39"/>
        <v>0</v>
      </c>
      <c r="K88" s="3">
        <f t="shared" si="39"/>
        <v>0</v>
      </c>
      <c r="L88" s="3">
        <f t="shared" si="39"/>
        <v>0</v>
      </c>
      <c r="M88" s="3">
        <f t="shared" si="39"/>
        <v>0</v>
      </c>
      <c r="N88" s="3">
        <f t="shared" si="35"/>
        <v>0</v>
      </c>
      <c r="O88" s="3">
        <f aca="true" t="shared" si="40" ref="O88:V88">SUM(O89:O90)</f>
        <v>0</v>
      </c>
      <c r="P88" s="3">
        <f t="shared" si="40"/>
        <v>0</v>
      </c>
      <c r="Q88" s="3"/>
      <c r="R88" s="3"/>
      <c r="S88" s="3">
        <f t="shared" si="36"/>
        <v>0</v>
      </c>
      <c r="T88" s="6">
        <f t="shared" si="40"/>
        <v>0</v>
      </c>
      <c r="U88" s="3">
        <f t="shared" si="40"/>
        <v>0</v>
      </c>
      <c r="V88" s="3">
        <f t="shared" si="40"/>
        <v>0</v>
      </c>
      <c r="Y88" s="300"/>
    </row>
    <row r="89" spans="1:25" s="98" customFormat="1" ht="11.25">
      <c r="A89" s="100"/>
      <c r="B89" s="100"/>
      <c r="C89" s="100">
        <v>290</v>
      </c>
      <c r="D89" s="2" t="s">
        <v>77</v>
      </c>
      <c r="E89" s="2" t="s">
        <v>32</v>
      </c>
      <c r="F89" s="23" t="s">
        <v>49</v>
      </c>
      <c r="G89" s="5">
        <v>0</v>
      </c>
      <c r="H89" s="5">
        <v>0</v>
      </c>
      <c r="I89" s="5">
        <f>G89+H89</f>
        <v>0</v>
      </c>
      <c r="J89" s="5">
        <v>0</v>
      </c>
      <c r="K89" s="5">
        <v>0</v>
      </c>
      <c r="L89" s="5">
        <v>0</v>
      </c>
      <c r="M89" s="5">
        <v>0</v>
      </c>
      <c r="N89" s="5">
        <f t="shared" si="35"/>
        <v>0</v>
      </c>
      <c r="O89" s="5">
        <v>0</v>
      </c>
      <c r="P89" s="5">
        <v>0</v>
      </c>
      <c r="Q89" s="5"/>
      <c r="R89" s="5"/>
      <c r="S89" s="5">
        <f t="shared" si="36"/>
        <v>0</v>
      </c>
      <c r="T89" s="7">
        <v>0</v>
      </c>
      <c r="U89" s="5">
        <v>0</v>
      </c>
      <c r="V89" s="5">
        <v>0</v>
      </c>
      <c r="Y89" s="300"/>
    </row>
    <row r="90" spans="1:25" s="98" customFormat="1" ht="11.25">
      <c r="A90" s="100"/>
      <c r="B90" s="100"/>
      <c r="C90" s="100">
        <v>290</v>
      </c>
      <c r="D90" s="2" t="s">
        <v>77</v>
      </c>
      <c r="E90" s="2" t="s">
        <v>21</v>
      </c>
      <c r="F90" s="23" t="s">
        <v>49</v>
      </c>
      <c r="G90" s="5">
        <v>0</v>
      </c>
      <c r="H90" s="5">
        <v>0</v>
      </c>
      <c r="I90" s="5">
        <f>G90+H90</f>
        <v>0</v>
      </c>
      <c r="J90" s="5">
        <v>0</v>
      </c>
      <c r="K90" s="5">
        <v>0</v>
      </c>
      <c r="L90" s="5">
        <v>0</v>
      </c>
      <c r="M90" s="5">
        <v>0</v>
      </c>
      <c r="N90" s="5">
        <f t="shared" si="35"/>
        <v>0</v>
      </c>
      <c r="O90" s="5">
        <v>0</v>
      </c>
      <c r="P90" s="5">
        <v>0</v>
      </c>
      <c r="Q90" s="5"/>
      <c r="R90" s="5"/>
      <c r="S90" s="5">
        <f t="shared" si="36"/>
        <v>0</v>
      </c>
      <c r="T90" s="7">
        <f>I90-S90</f>
        <v>0</v>
      </c>
      <c r="U90" s="5">
        <v>0</v>
      </c>
      <c r="V90" s="5">
        <v>0</v>
      </c>
      <c r="Y90" s="300"/>
    </row>
    <row r="91" spans="1:25" s="83" customFormat="1" ht="11.25">
      <c r="A91" s="104"/>
      <c r="B91" s="101"/>
      <c r="C91" s="101"/>
      <c r="D91" s="17"/>
      <c r="E91" s="17"/>
      <c r="F91" s="104"/>
      <c r="G91" s="5"/>
      <c r="H91" s="5"/>
      <c r="I91" s="5"/>
      <c r="J91" s="5"/>
      <c r="K91" s="5"/>
      <c r="L91" s="5"/>
      <c r="M91" s="5"/>
      <c r="N91" s="5">
        <f t="shared" si="35"/>
        <v>0</v>
      </c>
      <c r="O91" s="5"/>
      <c r="P91" s="5"/>
      <c r="Q91" s="5"/>
      <c r="R91" s="5"/>
      <c r="S91" s="5">
        <f t="shared" si="36"/>
        <v>0</v>
      </c>
      <c r="T91" s="7"/>
      <c r="U91" s="5"/>
      <c r="V91" s="5"/>
      <c r="Y91" s="300"/>
    </row>
    <row r="92" spans="1:25" s="98" customFormat="1" ht="11.25">
      <c r="A92" s="43">
        <v>300</v>
      </c>
      <c r="B92" s="43"/>
      <c r="C92" s="43"/>
      <c r="D92" s="1"/>
      <c r="E92" s="1"/>
      <c r="F92" s="102" t="s">
        <v>41</v>
      </c>
      <c r="G92" s="3">
        <f aca="true" t="shared" si="41" ref="G92:M92">G93+G97+G101+G107+G113+G117+G123</f>
        <v>306472460</v>
      </c>
      <c r="H92" s="3">
        <f t="shared" si="41"/>
        <v>-78209856</v>
      </c>
      <c r="I92" s="3">
        <f t="shared" si="41"/>
        <v>228262604</v>
      </c>
      <c r="J92" s="3">
        <f t="shared" si="41"/>
        <v>3350828</v>
      </c>
      <c r="K92" s="3">
        <f t="shared" si="41"/>
        <v>3963300</v>
      </c>
      <c r="L92" s="3">
        <f t="shared" si="41"/>
        <v>0</v>
      </c>
      <c r="M92" s="3">
        <f t="shared" si="41"/>
        <v>5667010</v>
      </c>
      <c r="N92" s="3">
        <f t="shared" si="35"/>
        <v>12981138</v>
      </c>
      <c r="O92" s="3">
        <f aca="true" t="shared" si="42" ref="O92:V92">O93+O97+O101+O107+O113+O117+O123</f>
        <v>19002896</v>
      </c>
      <c r="P92" s="3">
        <f t="shared" si="42"/>
        <v>38739590</v>
      </c>
      <c r="Q92" s="3">
        <f>Q93+Q97+Q101+Q107+Q113+Q117+Q123</f>
        <v>18987150</v>
      </c>
      <c r="R92" s="3">
        <f>R93+R97+R101+R107+R113+R117+R123</f>
        <v>46380002</v>
      </c>
      <c r="S92" s="3">
        <f>S93+S97+S101+S107+S113+S117+S123</f>
        <v>136090776</v>
      </c>
      <c r="T92" s="6">
        <f t="shared" si="42"/>
        <v>92171828</v>
      </c>
      <c r="U92" s="3">
        <f t="shared" si="42"/>
        <v>136090776</v>
      </c>
      <c r="V92" s="3">
        <f t="shared" si="42"/>
        <v>0</v>
      </c>
      <c r="Y92" s="300"/>
    </row>
    <row r="93" spans="1:25" s="98" customFormat="1" ht="11.25">
      <c r="A93" s="102"/>
      <c r="B93" s="43">
        <v>310</v>
      </c>
      <c r="C93" s="43"/>
      <c r="D93" s="1"/>
      <c r="E93" s="1"/>
      <c r="F93" s="102" t="s">
        <v>42</v>
      </c>
      <c r="G93" s="3">
        <f aca="true" t="shared" si="43" ref="G93:M93">SUM(G94:G96)</f>
        <v>25185000</v>
      </c>
      <c r="H93" s="3">
        <f t="shared" si="43"/>
        <v>0</v>
      </c>
      <c r="I93" s="3">
        <f t="shared" si="43"/>
        <v>25185000</v>
      </c>
      <c r="J93" s="3">
        <f t="shared" si="43"/>
        <v>16500</v>
      </c>
      <c r="K93" s="3">
        <f t="shared" si="43"/>
        <v>539000</v>
      </c>
      <c r="L93" s="3">
        <f t="shared" si="43"/>
        <v>0</v>
      </c>
      <c r="M93" s="3">
        <f t="shared" si="43"/>
        <v>0</v>
      </c>
      <c r="N93" s="3">
        <f t="shared" si="35"/>
        <v>555500</v>
      </c>
      <c r="O93" s="3">
        <f aca="true" t="shared" si="44" ref="O93:V93">SUM(O94:O96)</f>
        <v>173350</v>
      </c>
      <c r="P93" s="3">
        <f t="shared" si="44"/>
        <v>2611600</v>
      </c>
      <c r="Q93" s="3">
        <f>SUM(Q94:Q96)</f>
        <v>11500</v>
      </c>
      <c r="R93" s="3">
        <f>SUM(R94:R96)</f>
        <v>21000</v>
      </c>
      <c r="S93" s="3">
        <f>SUM(S94:S96)</f>
        <v>3372950</v>
      </c>
      <c r="T93" s="6">
        <f t="shared" si="44"/>
        <v>21812050</v>
      </c>
      <c r="U93" s="3">
        <f t="shared" si="44"/>
        <v>3372950</v>
      </c>
      <c r="V93" s="3">
        <f t="shared" si="44"/>
        <v>0</v>
      </c>
      <c r="Y93" s="300"/>
    </row>
    <row r="94" spans="1:25" s="98" customFormat="1" ht="11.25">
      <c r="A94" s="103"/>
      <c r="B94" s="100"/>
      <c r="C94" s="100">
        <v>310</v>
      </c>
      <c r="D94" s="2" t="s">
        <v>77</v>
      </c>
      <c r="E94" s="2" t="s">
        <v>58</v>
      </c>
      <c r="F94" s="103" t="s">
        <v>42</v>
      </c>
      <c r="G94" s="5">
        <v>0</v>
      </c>
      <c r="H94" s="5">
        <v>0</v>
      </c>
      <c r="I94" s="5">
        <f>G94+H94</f>
        <v>0</v>
      </c>
      <c r="J94" s="5">
        <v>0</v>
      </c>
      <c r="K94" s="5">
        <v>0</v>
      </c>
      <c r="L94" s="5">
        <v>0</v>
      </c>
      <c r="M94" s="5">
        <v>0</v>
      </c>
      <c r="N94" s="5">
        <f t="shared" si="35"/>
        <v>0</v>
      </c>
      <c r="O94" s="5">
        <v>0</v>
      </c>
      <c r="P94" s="5">
        <v>0</v>
      </c>
      <c r="Q94" s="5"/>
      <c r="R94" s="5"/>
      <c r="S94" s="5">
        <f t="shared" si="36"/>
        <v>0</v>
      </c>
      <c r="T94" s="7">
        <v>0</v>
      </c>
      <c r="U94" s="5">
        <v>0</v>
      </c>
      <c r="V94" s="5">
        <v>0</v>
      </c>
      <c r="Y94" s="300"/>
    </row>
    <row r="95" spans="1:25" s="98" customFormat="1" ht="11.25">
      <c r="A95" s="103"/>
      <c r="B95" s="100"/>
      <c r="C95" s="100">
        <v>310</v>
      </c>
      <c r="D95" s="2" t="s">
        <v>77</v>
      </c>
      <c r="E95" s="2" t="s">
        <v>21</v>
      </c>
      <c r="F95" s="103" t="s">
        <v>42</v>
      </c>
      <c r="G95" s="5">
        <v>25185000</v>
      </c>
      <c r="H95" s="5">
        <v>0</v>
      </c>
      <c r="I95" s="5">
        <f>G95+H95</f>
        <v>25185000</v>
      </c>
      <c r="J95" s="5">
        <v>16500</v>
      </c>
      <c r="K95" s="5">
        <v>539000</v>
      </c>
      <c r="L95" s="5">
        <v>0</v>
      </c>
      <c r="M95" s="5">
        <v>0</v>
      </c>
      <c r="N95" s="5">
        <f t="shared" si="35"/>
        <v>555500</v>
      </c>
      <c r="O95" s="5">
        <v>173350</v>
      </c>
      <c r="P95" s="5">
        <v>2611600</v>
      </c>
      <c r="Q95" s="5">
        <f>+GENUINO!R113</f>
        <v>11500</v>
      </c>
      <c r="R95" s="5">
        <f>+GENUINO!S113</f>
        <v>21000</v>
      </c>
      <c r="S95" s="5">
        <f t="shared" si="36"/>
        <v>3372950</v>
      </c>
      <c r="T95" s="7">
        <f>I95-S95</f>
        <v>21812050</v>
      </c>
      <c r="U95" s="5">
        <f>+S95</f>
        <v>3372950</v>
      </c>
      <c r="V95" s="5">
        <v>0</v>
      </c>
      <c r="Y95" s="300"/>
    </row>
    <row r="96" spans="1:25" s="83" customFormat="1" ht="11.25">
      <c r="A96" s="104"/>
      <c r="B96" s="101"/>
      <c r="C96" s="101"/>
      <c r="D96" s="17"/>
      <c r="E96" s="17"/>
      <c r="F96" s="104"/>
      <c r="G96" s="5"/>
      <c r="H96" s="5"/>
      <c r="I96" s="5"/>
      <c r="J96" s="5"/>
      <c r="K96" s="5"/>
      <c r="L96" s="5"/>
      <c r="M96" s="5"/>
      <c r="N96" s="5">
        <f t="shared" si="35"/>
        <v>0</v>
      </c>
      <c r="O96" s="5"/>
      <c r="P96" s="5"/>
      <c r="Q96" s="5"/>
      <c r="R96" s="5"/>
      <c r="S96" s="5">
        <f t="shared" si="36"/>
        <v>0</v>
      </c>
      <c r="T96" s="7"/>
      <c r="U96" s="5"/>
      <c r="V96" s="5"/>
      <c r="Y96" s="300"/>
    </row>
    <row r="97" spans="1:25" s="98" customFormat="1" ht="11.25">
      <c r="A97" s="102"/>
      <c r="B97" s="43">
        <v>320</v>
      </c>
      <c r="C97" s="43"/>
      <c r="D97" s="1"/>
      <c r="E97" s="1"/>
      <c r="F97" s="102" t="s">
        <v>43</v>
      </c>
      <c r="G97" s="3">
        <f aca="true" t="shared" si="45" ref="G97:M97">SUM(G98:G100)</f>
        <v>8424000</v>
      </c>
      <c r="H97" s="3">
        <f t="shared" si="45"/>
        <v>0</v>
      </c>
      <c r="I97" s="3">
        <f t="shared" si="45"/>
        <v>8424000</v>
      </c>
      <c r="J97" s="3">
        <f t="shared" si="45"/>
        <v>0</v>
      </c>
      <c r="K97" s="3">
        <f t="shared" si="45"/>
        <v>0</v>
      </c>
      <c r="L97" s="3">
        <f t="shared" si="45"/>
        <v>0</v>
      </c>
      <c r="M97" s="3">
        <f t="shared" si="45"/>
        <v>0</v>
      </c>
      <c r="N97" s="3">
        <f t="shared" si="35"/>
        <v>0</v>
      </c>
      <c r="O97" s="3">
        <f aca="true" t="shared" si="46" ref="O97:V97">SUM(O98:O100)</f>
        <v>0</v>
      </c>
      <c r="P97" s="3">
        <f t="shared" si="46"/>
        <v>0</v>
      </c>
      <c r="Q97" s="3"/>
      <c r="R97" s="3"/>
      <c r="S97" s="3">
        <f t="shared" si="36"/>
        <v>0</v>
      </c>
      <c r="T97" s="6">
        <f t="shared" si="46"/>
        <v>8424000</v>
      </c>
      <c r="U97" s="3">
        <f t="shared" si="46"/>
        <v>0</v>
      </c>
      <c r="V97" s="3">
        <f t="shared" si="46"/>
        <v>0</v>
      </c>
      <c r="Y97" s="300"/>
    </row>
    <row r="98" spans="1:25" s="98" customFormat="1" ht="11.25">
      <c r="A98" s="103"/>
      <c r="B98" s="100"/>
      <c r="C98" s="100">
        <v>320</v>
      </c>
      <c r="D98" s="2" t="s">
        <v>77</v>
      </c>
      <c r="E98" s="2" t="s">
        <v>33</v>
      </c>
      <c r="F98" s="103" t="s">
        <v>43</v>
      </c>
      <c r="G98" s="5">
        <v>0</v>
      </c>
      <c r="H98" s="5">
        <v>0</v>
      </c>
      <c r="I98" s="5">
        <f>G98+H98</f>
        <v>0</v>
      </c>
      <c r="J98" s="5">
        <v>0</v>
      </c>
      <c r="K98" s="5">
        <v>0</v>
      </c>
      <c r="L98" s="5">
        <v>0</v>
      </c>
      <c r="M98" s="5">
        <v>0</v>
      </c>
      <c r="N98" s="5">
        <f t="shared" si="35"/>
        <v>0</v>
      </c>
      <c r="O98" s="5">
        <v>0</v>
      </c>
      <c r="P98" s="5">
        <v>0</v>
      </c>
      <c r="Q98" s="5"/>
      <c r="R98" s="5"/>
      <c r="S98" s="5">
        <f t="shared" si="36"/>
        <v>0</v>
      </c>
      <c r="T98" s="7">
        <v>0</v>
      </c>
      <c r="U98" s="5">
        <v>0</v>
      </c>
      <c r="V98" s="5">
        <v>0</v>
      </c>
      <c r="Y98" s="300"/>
    </row>
    <row r="99" spans="1:25" s="98" customFormat="1" ht="11.25">
      <c r="A99" s="103"/>
      <c r="B99" s="100"/>
      <c r="C99" s="100">
        <v>320</v>
      </c>
      <c r="D99" s="2" t="s">
        <v>77</v>
      </c>
      <c r="E99" s="2" t="s">
        <v>21</v>
      </c>
      <c r="F99" s="103" t="s">
        <v>43</v>
      </c>
      <c r="G99" s="5">
        <v>8424000</v>
      </c>
      <c r="H99" s="5">
        <v>0</v>
      </c>
      <c r="I99" s="5">
        <f>G99+H99</f>
        <v>8424000</v>
      </c>
      <c r="J99" s="5">
        <v>0</v>
      </c>
      <c r="K99" s="5">
        <v>0</v>
      </c>
      <c r="L99" s="5">
        <v>0</v>
      </c>
      <c r="M99" s="5">
        <v>0</v>
      </c>
      <c r="N99" s="5">
        <f t="shared" si="35"/>
        <v>0</v>
      </c>
      <c r="O99" s="5">
        <v>0</v>
      </c>
      <c r="P99" s="5">
        <v>0</v>
      </c>
      <c r="Q99" s="5"/>
      <c r="R99" s="5"/>
      <c r="S99" s="5">
        <f t="shared" si="36"/>
        <v>0</v>
      </c>
      <c r="T99" s="7">
        <f>I99-S99</f>
        <v>8424000</v>
      </c>
      <c r="U99" s="5">
        <f>+S99</f>
        <v>0</v>
      </c>
      <c r="V99" s="5">
        <v>0</v>
      </c>
      <c r="Y99" s="300"/>
    </row>
    <row r="100" spans="1:25" s="83" customFormat="1" ht="11.25">
      <c r="A100" s="104"/>
      <c r="B100" s="101"/>
      <c r="C100" s="101"/>
      <c r="D100" s="17"/>
      <c r="E100" s="17"/>
      <c r="F100" s="104"/>
      <c r="G100" s="5"/>
      <c r="H100" s="5"/>
      <c r="I100" s="5"/>
      <c r="J100" s="5"/>
      <c r="K100" s="5"/>
      <c r="L100" s="5"/>
      <c r="M100" s="5"/>
      <c r="N100" s="5">
        <f t="shared" si="35"/>
        <v>0</v>
      </c>
      <c r="O100" s="5"/>
      <c r="P100" s="5"/>
      <c r="Q100" s="5"/>
      <c r="R100" s="5"/>
      <c r="S100" s="5">
        <f t="shared" si="36"/>
        <v>0</v>
      </c>
      <c r="T100" s="7"/>
      <c r="U100" s="5"/>
      <c r="V100" s="5"/>
      <c r="Y100" s="300"/>
    </row>
    <row r="101" spans="1:25" s="98" customFormat="1" ht="11.25">
      <c r="A101" s="102"/>
      <c r="B101" s="43">
        <v>330</v>
      </c>
      <c r="C101" s="43"/>
      <c r="D101" s="1"/>
      <c r="E101" s="1"/>
      <c r="F101" s="102" t="s">
        <v>44</v>
      </c>
      <c r="G101" s="3">
        <f aca="true" t="shared" si="47" ref="G101:M101">SUM(G102:G106)</f>
        <v>14143200</v>
      </c>
      <c r="H101" s="3">
        <f t="shared" si="47"/>
        <v>0</v>
      </c>
      <c r="I101" s="3">
        <f t="shared" si="47"/>
        <v>14143200</v>
      </c>
      <c r="J101" s="3">
        <f t="shared" si="47"/>
        <v>9500</v>
      </c>
      <c r="K101" s="3">
        <f t="shared" si="47"/>
        <v>158300</v>
      </c>
      <c r="L101" s="3">
        <f t="shared" si="47"/>
        <v>0</v>
      </c>
      <c r="M101" s="3">
        <f t="shared" si="47"/>
        <v>1400000</v>
      </c>
      <c r="N101" s="3">
        <f t="shared" si="35"/>
        <v>1567800</v>
      </c>
      <c r="O101" s="3">
        <f aca="true" t="shared" si="48" ref="O101:V101">SUM(O102:O106)</f>
        <v>836624</v>
      </c>
      <c r="P101" s="3">
        <f t="shared" si="48"/>
        <v>0</v>
      </c>
      <c r="Q101" s="3">
        <f t="shared" si="48"/>
        <v>2809100</v>
      </c>
      <c r="R101" s="3">
        <f t="shared" si="48"/>
        <v>5113000</v>
      </c>
      <c r="S101" s="3">
        <f t="shared" si="48"/>
        <v>10326524</v>
      </c>
      <c r="T101" s="6">
        <f t="shared" si="48"/>
        <v>3816676</v>
      </c>
      <c r="U101" s="3">
        <f t="shared" si="48"/>
        <v>10326524</v>
      </c>
      <c r="V101" s="3">
        <f t="shared" si="48"/>
        <v>0</v>
      </c>
      <c r="Y101" s="300"/>
    </row>
    <row r="102" spans="1:25" s="98" customFormat="1" ht="11.25">
      <c r="A102" s="103"/>
      <c r="B102" s="100"/>
      <c r="C102" s="100">
        <v>330</v>
      </c>
      <c r="D102" s="2" t="s">
        <v>77</v>
      </c>
      <c r="E102" s="2" t="s">
        <v>32</v>
      </c>
      <c r="F102" s="103" t="s">
        <v>44</v>
      </c>
      <c r="G102" s="5">
        <v>0</v>
      </c>
      <c r="H102" s="5">
        <v>0</v>
      </c>
      <c r="I102" s="5">
        <f>G102+H102</f>
        <v>0</v>
      </c>
      <c r="J102" s="5">
        <v>0</v>
      </c>
      <c r="K102" s="5">
        <v>0</v>
      </c>
      <c r="L102" s="5">
        <v>0</v>
      </c>
      <c r="M102" s="5">
        <v>0</v>
      </c>
      <c r="N102" s="5">
        <f t="shared" si="35"/>
        <v>0</v>
      </c>
      <c r="O102" s="5">
        <v>0</v>
      </c>
      <c r="P102" s="5">
        <v>0</v>
      </c>
      <c r="Q102" s="5"/>
      <c r="R102" s="5"/>
      <c r="S102" s="5">
        <f t="shared" si="36"/>
        <v>0</v>
      </c>
      <c r="T102" s="5">
        <v>0</v>
      </c>
      <c r="U102" s="5">
        <v>0</v>
      </c>
      <c r="V102" s="5">
        <v>0</v>
      </c>
      <c r="Y102" s="300"/>
    </row>
    <row r="103" spans="1:25" s="98" customFormat="1" ht="11.25">
      <c r="A103" s="103"/>
      <c r="B103" s="100"/>
      <c r="C103" s="100">
        <v>330</v>
      </c>
      <c r="D103" s="2" t="s">
        <v>77</v>
      </c>
      <c r="E103" s="2" t="s">
        <v>58</v>
      </c>
      <c r="F103" s="103" t="s">
        <v>44</v>
      </c>
      <c r="G103" s="5">
        <v>0</v>
      </c>
      <c r="H103" s="5">
        <v>0</v>
      </c>
      <c r="I103" s="5">
        <f>G103+H103</f>
        <v>0</v>
      </c>
      <c r="J103" s="5">
        <v>0</v>
      </c>
      <c r="K103" s="5">
        <v>0</v>
      </c>
      <c r="L103" s="5">
        <v>0</v>
      </c>
      <c r="M103" s="5">
        <v>0</v>
      </c>
      <c r="N103" s="5">
        <f t="shared" si="35"/>
        <v>0</v>
      </c>
      <c r="O103" s="5">
        <v>0</v>
      </c>
      <c r="P103" s="5">
        <v>0</v>
      </c>
      <c r="Q103" s="5"/>
      <c r="R103" s="5"/>
      <c r="S103" s="5">
        <f t="shared" si="36"/>
        <v>0</v>
      </c>
      <c r="T103" s="5">
        <v>0</v>
      </c>
      <c r="U103" s="5">
        <v>0</v>
      </c>
      <c r="V103" s="5">
        <v>0</v>
      </c>
      <c r="Y103" s="300"/>
    </row>
    <row r="104" spans="1:25" s="98" customFormat="1" ht="11.25">
      <c r="A104" s="103"/>
      <c r="B104" s="100"/>
      <c r="C104" s="100">
        <v>330</v>
      </c>
      <c r="D104" s="2" t="s">
        <v>77</v>
      </c>
      <c r="E104" s="2" t="s">
        <v>33</v>
      </c>
      <c r="F104" s="103" t="s">
        <v>44</v>
      </c>
      <c r="G104" s="5">
        <v>0</v>
      </c>
      <c r="H104" s="5">
        <v>0</v>
      </c>
      <c r="I104" s="5">
        <f>G104+H104</f>
        <v>0</v>
      </c>
      <c r="J104" s="5">
        <v>0</v>
      </c>
      <c r="K104" s="5">
        <v>0</v>
      </c>
      <c r="L104" s="5">
        <v>0</v>
      </c>
      <c r="M104" s="5">
        <v>0</v>
      </c>
      <c r="N104" s="5">
        <f t="shared" si="35"/>
        <v>0</v>
      </c>
      <c r="O104" s="5">
        <v>0</v>
      </c>
      <c r="P104" s="5">
        <v>0</v>
      </c>
      <c r="Q104" s="5"/>
      <c r="R104" s="5"/>
      <c r="S104" s="5">
        <f t="shared" si="36"/>
        <v>0</v>
      </c>
      <c r="T104" s="5">
        <v>0</v>
      </c>
      <c r="U104" s="5">
        <v>0</v>
      </c>
      <c r="V104" s="5">
        <v>0</v>
      </c>
      <c r="Y104" s="300"/>
    </row>
    <row r="105" spans="1:25" s="98" customFormat="1" ht="11.25">
      <c r="A105" s="103"/>
      <c r="B105" s="100"/>
      <c r="C105" s="100">
        <v>330</v>
      </c>
      <c r="D105" s="2" t="s">
        <v>77</v>
      </c>
      <c r="E105" s="2" t="s">
        <v>21</v>
      </c>
      <c r="F105" s="103" t="s">
        <v>44</v>
      </c>
      <c r="G105" s="5">
        <v>14143200</v>
      </c>
      <c r="H105" s="5">
        <v>0</v>
      </c>
      <c r="I105" s="5">
        <f>G105+H105</f>
        <v>14143200</v>
      </c>
      <c r="J105" s="5">
        <v>9500</v>
      </c>
      <c r="K105" s="5">
        <v>158300</v>
      </c>
      <c r="L105" s="5">
        <v>0</v>
      </c>
      <c r="M105" s="5">
        <v>1400000</v>
      </c>
      <c r="N105" s="5">
        <f t="shared" si="35"/>
        <v>1567800</v>
      </c>
      <c r="O105" s="5">
        <v>836624</v>
      </c>
      <c r="P105" s="5">
        <v>0</v>
      </c>
      <c r="Q105" s="5">
        <f>+GENUINO!R123</f>
        <v>2809100</v>
      </c>
      <c r="R105" s="5">
        <f>+GENUINO!S123</f>
        <v>5113000</v>
      </c>
      <c r="S105" s="5">
        <f t="shared" si="36"/>
        <v>10326524</v>
      </c>
      <c r="T105" s="7">
        <f>I105-S105</f>
        <v>3816676</v>
      </c>
      <c r="U105" s="5">
        <f>+S105</f>
        <v>10326524</v>
      </c>
      <c r="V105" s="5">
        <v>0</v>
      </c>
      <c r="Y105" s="300"/>
    </row>
    <row r="106" spans="1:25" s="83" customFormat="1" ht="11.25">
      <c r="A106" s="104"/>
      <c r="B106" s="101"/>
      <c r="C106" s="101"/>
      <c r="D106" s="17"/>
      <c r="E106" s="17"/>
      <c r="F106" s="104"/>
      <c r="G106" s="5"/>
      <c r="H106" s="5"/>
      <c r="I106" s="5"/>
      <c r="J106" s="5"/>
      <c r="K106" s="5"/>
      <c r="L106" s="5"/>
      <c r="M106" s="5"/>
      <c r="N106" s="5">
        <f t="shared" si="35"/>
        <v>0</v>
      </c>
      <c r="O106" s="5"/>
      <c r="P106" s="5"/>
      <c r="Q106" s="5"/>
      <c r="R106" s="5"/>
      <c r="S106" s="5">
        <f t="shared" si="36"/>
        <v>0</v>
      </c>
      <c r="T106" s="7"/>
      <c r="U106" s="5"/>
      <c r="V106" s="5"/>
      <c r="Y106" s="300"/>
    </row>
    <row r="107" spans="1:25" s="98" customFormat="1" ht="11.25">
      <c r="A107" s="102"/>
      <c r="B107" s="43">
        <v>340</v>
      </c>
      <c r="C107" s="43"/>
      <c r="D107" s="1"/>
      <c r="E107" s="1"/>
      <c r="F107" s="102" t="s">
        <v>45</v>
      </c>
      <c r="G107" s="3">
        <f aca="true" t="shared" si="49" ref="G107:M107">SUM(G108:G112)</f>
        <v>54702854</v>
      </c>
      <c r="H107" s="3">
        <f t="shared" si="49"/>
        <v>0</v>
      </c>
      <c r="I107" s="3">
        <f t="shared" si="49"/>
        <v>54702854</v>
      </c>
      <c r="J107" s="3">
        <f t="shared" si="49"/>
        <v>3098828</v>
      </c>
      <c r="K107" s="3">
        <f t="shared" si="49"/>
        <v>2016000</v>
      </c>
      <c r="L107" s="3">
        <f t="shared" si="49"/>
        <v>0</v>
      </c>
      <c r="M107" s="3">
        <f t="shared" si="49"/>
        <v>2872062</v>
      </c>
      <c r="N107" s="3">
        <f t="shared" si="35"/>
        <v>7986890</v>
      </c>
      <c r="O107" s="3">
        <f aca="true" t="shared" si="50" ref="O107:V107">SUM(O108:O112)</f>
        <v>14058722</v>
      </c>
      <c r="P107" s="3">
        <f t="shared" si="50"/>
        <v>7227990</v>
      </c>
      <c r="Q107" s="3">
        <f t="shared" si="50"/>
        <v>14653550</v>
      </c>
      <c r="R107" s="3">
        <f t="shared" si="50"/>
        <v>6073002</v>
      </c>
      <c r="S107" s="3">
        <f t="shared" si="50"/>
        <v>50000154</v>
      </c>
      <c r="T107" s="6">
        <f t="shared" si="50"/>
        <v>4702700</v>
      </c>
      <c r="U107" s="3">
        <f t="shared" si="50"/>
        <v>50000154</v>
      </c>
      <c r="V107" s="3">
        <f t="shared" si="50"/>
        <v>0</v>
      </c>
      <c r="Y107" s="300"/>
    </row>
    <row r="108" spans="1:25" s="98" customFormat="1" ht="11.25">
      <c r="A108" s="103"/>
      <c r="B108" s="100"/>
      <c r="C108" s="100">
        <v>340</v>
      </c>
      <c r="D108" s="2" t="s">
        <v>77</v>
      </c>
      <c r="E108" s="2" t="s">
        <v>32</v>
      </c>
      <c r="F108" s="103" t="s">
        <v>45</v>
      </c>
      <c r="G108" s="5">
        <v>0</v>
      </c>
      <c r="H108" s="5">
        <v>0</v>
      </c>
      <c r="I108" s="5">
        <f>G108+H108</f>
        <v>0</v>
      </c>
      <c r="J108" s="5">
        <v>0</v>
      </c>
      <c r="K108" s="5">
        <v>0</v>
      </c>
      <c r="L108" s="5">
        <v>0</v>
      </c>
      <c r="M108" s="5">
        <v>0</v>
      </c>
      <c r="N108" s="5">
        <f t="shared" si="35"/>
        <v>0</v>
      </c>
      <c r="O108" s="5">
        <v>0</v>
      </c>
      <c r="P108" s="5">
        <v>0</v>
      </c>
      <c r="Q108" s="5"/>
      <c r="R108" s="5"/>
      <c r="S108" s="5">
        <f t="shared" si="36"/>
        <v>0</v>
      </c>
      <c r="T108" s="7">
        <v>0</v>
      </c>
      <c r="U108" s="5">
        <v>0</v>
      </c>
      <c r="V108" s="5">
        <v>0</v>
      </c>
      <c r="Y108" s="300"/>
    </row>
    <row r="109" spans="1:25" s="98" customFormat="1" ht="11.25">
      <c r="A109" s="103"/>
      <c r="B109" s="100"/>
      <c r="C109" s="100">
        <v>340</v>
      </c>
      <c r="D109" s="2" t="s">
        <v>77</v>
      </c>
      <c r="E109" s="2" t="s">
        <v>58</v>
      </c>
      <c r="F109" s="103" t="s">
        <v>45</v>
      </c>
      <c r="G109" s="5">
        <v>0</v>
      </c>
      <c r="H109" s="5">
        <v>0</v>
      </c>
      <c r="I109" s="5">
        <f>G109+H109</f>
        <v>0</v>
      </c>
      <c r="J109" s="5"/>
      <c r="K109" s="5"/>
      <c r="L109" s="5"/>
      <c r="M109" s="5"/>
      <c r="N109" s="5">
        <f t="shared" si="35"/>
        <v>0</v>
      </c>
      <c r="O109" s="5"/>
      <c r="P109" s="5"/>
      <c r="Q109" s="5"/>
      <c r="R109" s="5"/>
      <c r="S109" s="5">
        <f t="shared" si="36"/>
        <v>0</v>
      </c>
      <c r="T109" s="7"/>
      <c r="U109" s="5"/>
      <c r="V109" s="5"/>
      <c r="Y109" s="300"/>
    </row>
    <row r="110" spans="1:25" s="98" customFormat="1" ht="11.25">
      <c r="A110" s="103"/>
      <c r="B110" s="100"/>
      <c r="C110" s="100">
        <v>340</v>
      </c>
      <c r="D110" s="2" t="s">
        <v>77</v>
      </c>
      <c r="E110" s="2" t="s">
        <v>33</v>
      </c>
      <c r="F110" s="103" t="s">
        <v>45</v>
      </c>
      <c r="G110" s="5">
        <v>0</v>
      </c>
      <c r="H110" s="5">
        <v>0</v>
      </c>
      <c r="I110" s="5">
        <f>G110+H110</f>
        <v>0</v>
      </c>
      <c r="J110" s="5"/>
      <c r="K110" s="5"/>
      <c r="L110" s="5"/>
      <c r="M110" s="5"/>
      <c r="N110" s="5">
        <f t="shared" si="35"/>
        <v>0</v>
      </c>
      <c r="O110" s="5"/>
      <c r="P110" s="5"/>
      <c r="Q110" s="5"/>
      <c r="R110" s="5"/>
      <c r="S110" s="5">
        <f t="shared" si="36"/>
        <v>0</v>
      </c>
      <c r="T110" s="7"/>
      <c r="U110" s="5"/>
      <c r="V110" s="5"/>
      <c r="Y110" s="300"/>
    </row>
    <row r="111" spans="1:25" s="98" customFormat="1" ht="11.25">
      <c r="A111" s="103"/>
      <c r="B111" s="100"/>
      <c r="C111" s="100">
        <v>340</v>
      </c>
      <c r="D111" s="2" t="s">
        <v>77</v>
      </c>
      <c r="E111" s="2" t="s">
        <v>21</v>
      </c>
      <c r="F111" s="103" t="s">
        <v>45</v>
      </c>
      <c r="G111" s="5">
        <v>54702854</v>
      </c>
      <c r="H111" s="5">
        <v>0</v>
      </c>
      <c r="I111" s="5">
        <f>G111+H111</f>
        <v>54702854</v>
      </c>
      <c r="J111" s="5">
        <v>3098828</v>
      </c>
      <c r="K111" s="5">
        <v>2016000</v>
      </c>
      <c r="L111" s="5">
        <v>0</v>
      </c>
      <c r="M111" s="5">
        <v>2872062</v>
      </c>
      <c r="N111" s="5">
        <f t="shared" si="35"/>
        <v>7986890</v>
      </c>
      <c r="O111" s="5">
        <v>14058722</v>
      </c>
      <c r="P111" s="5">
        <v>7227990</v>
      </c>
      <c r="Q111" s="5">
        <f>+GENUINO!R129</f>
        <v>14653550</v>
      </c>
      <c r="R111" s="5">
        <f>+GENUINO!S129</f>
        <v>6073002</v>
      </c>
      <c r="S111" s="5">
        <f t="shared" si="36"/>
        <v>50000154</v>
      </c>
      <c r="T111" s="7">
        <f>I111-S111</f>
        <v>4702700</v>
      </c>
      <c r="U111" s="5">
        <f>+S111</f>
        <v>50000154</v>
      </c>
      <c r="V111" s="5">
        <v>0</v>
      </c>
      <c r="Y111" s="300"/>
    </row>
    <row r="112" spans="1:25" s="83" customFormat="1" ht="19.5" customHeight="1">
      <c r="A112" s="104"/>
      <c r="B112" s="101"/>
      <c r="C112" s="101"/>
      <c r="D112" s="17"/>
      <c r="E112" s="17"/>
      <c r="F112" s="104"/>
      <c r="G112" s="5"/>
      <c r="H112" s="5"/>
      <c r="I112" s="5"/>
      <c r="J112" s="5"/>
      <c r="K112" s="5"/>
      <c r="L112" s="5"/>
      <c r="M112" s="5"/>
      <c r="N112" s="5">
        <f t="shared" si="35"/>
        <v>0</v>
      </c>
      <c r="O112" s="5"/>
      <c r="P112" s="5"/>
      <c r="Q112" s="5"/>
      <c r="R112" s="5"/>
      <c r="S112" s="5">
        <f t="shared" si="36"/>
        <v>0</v>
      </c>
      <c r="T112" s="7"/>
      <c r="U112" s="5"/>
      <c r="V112" s="5"/>
      <c r="Y112" s="300"/>
    </row>
    <row r="113" spans="1:25" s="98" customFormat="1" ht="11.25">
      <c r="A113" s="102"/>
      <c r="B113" s="43">
        <v>350</v>
      </c>
      <c r="C113" s="43"/>
      <c r="D113" s="1"/>
      <c r="E113" s="1"/>
      <c r="F113" s="102" t="s">
        <v>149</v>
      </c>
      <c r="G113" s="3">
        <f aca="true" t="shared" si="51" ref="G113:U113">SUM(G114:G116)</f>
        <v>16500000</v>
      </c>
      <c r="H113" s="3">
        <f t="shared" si="51"/>
        <v>-10000000</v>
      </c>
      <c r="I113" s="3">
        <f t="shared" si="51"/>
        <v>6500000</v>
      </c>
      <c r="J113" s="3">
        <f t="shared" si="51"/>
        <v>0</v>
      </c>
      <c r="K113" s="3">
        <f t="shared" si="51"/>
        <v>1092000</v>
      </c>
      <c r="L113" s="3">
        <f t="shared" si="51"/>
        <v>0</v>
      </c>
      <c r="M113" s="3">
        <f t="shared" si="51"/>
        <v>0</v>
      </c>
      <c r="N113" s="3">
        <f t="shared" si="51"/>
        <v>1092000</v>
      </c>
      <c r="O113" s="3">
        <f t="shared" si="51"/>
        <v>0</v>
      </c>
      <c r="P113" s="3">
        <f t="shared" si="51"/>
        <v>0</v>
      </c>
      <c r="Q113" s="3">
        <f t="shared" si="51"/>
        <v>0</v>
      </c>
      <c r="R113" s="3">
        <f t="shared" si="51"/>
        <v>0</v>
      </c>
      <c r="S113" s="3">
        <f t="shared" si="51"/>
        <v>1092000</v>
      </c>
      <c r="T113" s="3">
        <f t="shared" si="51"/>
        <v>5408000</v>
      </c>
      <c r="U113" s="3">
        <f t="shared" si="51"/>
        <v>1092000</v>
      </c>
      <c r="V113" s="3">
        <f>SUM(V114:V116)</f>
        <v>0</v>
      </c>
      <c r="Y113" s="300"/>
    </row>
    <row r="114" spans="1:25" s="98" customFormat="1" ht="11.25">
      <c r="A114" s="103"/>
      <c r="B114" s="100"/>
      <c r="C114" s="100">
        <v>350</v>
      </c>
      <c r="D114" s="2" t="s">
        <v>77</v>
      </c>
      <c r="E114" s="2" t="s">
        <v>33</v>
      </c>
      <c r="F114" s="103" t="s">
        <v>543</v>
      </c>
      <c r="G114" s="5">
        <v>0</v>
      </c>
      <c r="H114" s="5">
        <v>0</v>
      </c>
      <c r="I114" s="5">
        <f>G114+H114</f>
        <v>0</v>
      </c>
      <c r="J114" s="5">
        <v>0</v>
      </c>
      <c r="K114" s="5">
        <v>0</v>
      </c>
      <c r="L114" s="5">
        <v>0</v>
      </c>
      <c r="M114" s="5">
        <v>0</v>
      </c>
      <c r="N114" s="5">
        <f t="shared" si="35"/>
        <v>0</v>
      </c>
      <c r="O114" s="5">
        <v>0</v>
      </c>
      <c r="P114" s="5">
        <v>0</v>
      </c>
      <c r="Q114" s="5"/>
      <c r="R114" s="5"/>
      <c r="S114" s="5">
        <f t="shared" si="36"/>
        <v>0</v>
      </c>
      <c r="T114" s="7">
        <v>0</v>
      </c>
      <c r="U114" s="5">
        <v>0</v>
      </c>
      <c r="V114" s="5">
        <v>0</v>
      </c>
      <c r="Y114" s="300"/>
    </row>
    <row r="115" spans="1:25" s="98" customFormat="1" ht="11.25">
      <c r="A115" s="103"/>
      <c r="B115" s="100"/>
      <c r="C115" s="100">
        <v>350</v>
      </c>
      <c r="D115" s="2" t="s">
        <v>77</v>
      </c>
      <c r="E115" s="2" t="s">
        <v>21</v>
      </c>
      <c r="F115" s="103" t="s">
        <v>544</v>
      </c>
      <c r="G115" s="5">
        <v>16500000</v>
      </c>
      <c r="H115" s="5">
        <v>-10000000</v>
      </c>
      <c r="I115" s="5">
        <f>G115+H115</f>
        <v>6500000</v>
      </c>
      <c r="J115" s="5">
        <v>0</v>
      </c>
      <c r="K115" s="5">
        <v>1092000</v>
      </c>
      <c r="L115" s="5">
        <v>0</v>
      </c>
      <c r="M115" s="5">
        <v>0</v>
      </c>
      <c r="N115" s="5">
        <f t="shared" si="35"/>
        <v>1092000</v>
      </c>
      <c r="O115" s="5">
        <v>0</v>
      </c>
      <c r="P115" s="5">
        <v>0</v>
      </c>
      <c r="Q115" s="5"/>
      <c r="R115" s="5"/>
      <c r="S115" s="5">
        <f t="shared" si="36"/>
        <v>1092000</v>
      </c>
      <c r="T115" s="7">
        <f>I115-S115</f>
        <v>5408000</v>
      </c>
      <c r="U115" s="5">
        <f>+S115</f>
        <v>1092000</v>
      </c>
      <c r="V115" s="5">
        <v>0</v>
      </c>
      <c r="Y115" s="300"/>
    </row>
    <row r="116" spans="1:25" s="83" customFormat="1" ht="20.25" customHeight="1">
      <c r="A116" s="104"/>
      <c r="B116" s="101"/>
      <c r="C116" s="101"/>
      <c r="D116" s="17"/>
      <c r="E116" s="17"/>
      <c r="F116" s="104"/>
      <c r="G116" s="5"/>
      <c r="H116" s="5"/>
      <c r="I116" s="5"/>
      <c r="J116" s="5"/>
      <c r="K116" s="5"/>
      <c r="L116" s="5"/>
      <c r="M116" s="5"/>
      <c r="N116" s="5">
        <f t="shared" si="35"/>
        <v>0</v>
      </c>
      <c r="O116" s="5"/>
      <c r="P116" s="5"/>
      <c r="Q116" s="5"/>
      <c r="R116" s="5"/>
      <c r="S116" s="5">
        <f t="shared" si="36"/>
        <v>0</v>
      </c>
      <c r="T116" s="7"/>
      <c r="U116" s="5"/>
      <c r="V116" s="5"/>
      <c r="Y116" s="300"/>
    </row>
    <row r="117" spans="1:25" s="98" customFormat="1" ht="17.25" customHeight="1">
      <c r="A117" s="102"/>
      <c r="B117" s="43">
        <v>360</v>
      </c>
      <c r="C117" s="43"/>
      <c r="D117" s="1"/>
      <c r="E117" s="1"/>
      <c r="F117" s="102" t="s">
        <v>46</v>
      </c>
      <c r="G117" s="3">
        <f aca="true" t="shared" si="52" ref="G117:U117">SUM(G118:G122)</f>
        <v>170604906</v>
      </c>
      <c r="H117" s="3">
        <f t="shared" si="52"/>
        <v>-68209856</v>
      </c>
      <c r="I117" s="3">
        <f t="shared" si="52"/>
        <v>102395050</v>
      </c>
      <c r="J117" s="3">
        <f t="shared" si="52"/>
        <v>0</v>
      </c>
      <c r="K117" s="3">
        <f t="shared" si="52"/>
        <v>0</v>
      </c>
      <c r="L117" s="3">
        <f t="shared" si="52"/>
        <v>0</v>
      </c>
      <c r="M117" s="3">
        <f t="shared" si="52"/>
        <v>0</v>
      </c>
      <c r="N117" s="3">
        <f t="shared" si="52"/>
        <v>0</v>
      </c>
      <c r="O117" s="3">
        <f t="shared" si="52"/>
        <v>0</v>
      </c>
      <c r="P117" s="3">
        <f t="shared" si="52"/>
        <v>25000000</v>
      </c>
      <c r="Q117" s="3">
        <f t="shared" si="52"/>
        <v>0</v>
      </c>
      <c r="R117" s="3">
        <f t="shared" si="52"/>
        <v>30000000</v>
      </c>
      <c r="S117" s="3">
        <f t="shared" si="52"/>
        <v>55000000</v>
      </c>
      <c r="T117" s="3">
        <f t="shared" si="52"/>
        <v>47395050</v>
      </c>
      <c r="U117" s="3">
        <f t="shared" si="52"/>
        <v>55000000</v>
      </c>
      <c r="V117" s="3">
        <f>SUM(V118:V122)</f>
        <v>0</v>
      </c>
      <c r="Y117" s="300"/>
    </row>
    <row r="118" spans="1:25" s="98" customFormat="1" ht="11.25">
      <c r="A118" s="103"/>
      <c r="B118" s="100"/>
      <c r="C118" s="100">
        <v>360</v>
      </c>
      <c r="D118" s="2" t="s">
        <v>77</v>
      </c>
      <c r="E118" s="2" t="s">
        <v>32</v>
      </c>
      <c r="F118" s="103" t="s">
        <v>46</v>
      </c>
      <c r="G118" s="5">
        <v>132054906</v>
      </c>
      <c r="H118" s="5">
        <f>-28209856-40000000</f>
        <v>-68209856</v>
      </c>
      <c r="I118" s="5">
        <f>G118+H118</f>
        <v>63845050</v>
      </c>
      <c r="J118" s="5">
        <v>0</v>
      </c>
      <c r="K118" s="5">
        <v>0</v>
      </c>
      <c r="L118" s="5">
        <v>0</v>
      </c>
      <c r="M118" s="5">
        <v>0</v>
      </c>
      <c r="N118" s="5">
        <f t="shared" si="35"/>
        <v>0</v>
      </c>
      <c r="O118" s="5">
        <v>0</v>
      </c>
      <c r="P118" s="5">
        <v>25000000</v>
      </c>
      <c r="Q118" s="5"/>
      <c r="R118" s="5">
        <v>30000000</v>
      </c>
      <c r="S118" s="5">
        <f t="shared" si="36"/>
        <v>55000000</v>
      </c>
      <c r="T118" s="7">
        <f>I118-S118</f>
        <v>8845050</v>
      </c>
      <c r="U118" s="5">
        <f>+S118</f>
        <v>55000000</v>
      </c>
      <c r="V118" s="5">
        <v>0</v>
      </c>
      <c r="Y118" s="300"/>
    </row>
    <row r="119" spans="1:25" s="98" customFormat="1" ht="11.25">
      <c r="A119" s="103"/>
      <c r="B119" s="100"/>
      <c r="C119" s="100">
        <v>360</v>
      </c>
      <c r="D119" s="2" t="s">
        <v>77</v>
      </c>
      <c r="E119" s="2" t="s">
        <v>58</v>
      </c>
      <c r="F119" s="103" t="s">
        <v>46</v>
      </c>
      <c r="G119" s="5">
        <v>0</v>
      </c>
      <c r="H119" s="5">
        <v>0</v>
      </c>
      <c r="I119" s="5">
        <f>G119+H119</f>
        <v>0</v>
      </c>
      <c r="J119" s="5">
        <v>0</v>
      </c>
      <c r="K119" s="5">
        <v>0</v>
      </c>
      <c r="L119" s="5">
        <v>0</v>
      </c>
      <c r="M119" s="5">
        <v>0</v>
      </c>
      <c r="N119" s="5">
        <f t="shared" si="35"/>
        <v>0</v>
      </c>
      <c r="O119" s="5">
        <v>0</v>
      </c>
      <c r="P119" s="5">
        <v>0</v>
      </c>
      <c r="Q119" s="5"/>
      <c r="R119" s="5"/>
      <c r="S119" s="5">
        <f t="shared" si="36"/>
        <v>0</v>
      </c>
      <c r="T119" s="7">
        <f>I119-S119</f>
        <v>0</v>
      </c>
      <c r="U119" s="5">
        <f>+S119</f>
        <v>0</v>
      </c>
      <c r="V119" s="5">
        <v>0</v>
      </c>
      <c r="Y119" s="300"/>
    </row>
    <row r="120" spans="1:25" s="98" customFormat="1" ht="11.25">
      <c r="A120" s="103"/>
      <c r="B120" s="100"/>
      <c r="C120" s="100">
        <v>360</v>
      </c>
      <c r="D120" s="2" t="s">
        <v>77</v>
      </c>
      <c r="E120" s="2" t="s">
        <v>33</v>
      </c>
      <c r="F120" s="103" t="s">
        <v>46</v>
      </c>
      <c r="G120" s="5">
        <v>0</v>
      </c>
      <c r="H120" s="5">
        <v>0</v>
      </c>
      <c r="I120" s="5">
        <f>G120+H120</f>
        <v>0</v>
      </c>
      <c r="J120" s="5">
        <v>0</v>
      </c>
      <c r="K120" s="5">
        <v>0</v>
      </c>
      <c r="L120" s="5">
        <v>0</v>
      </c>
      <c r="M120" s="5">
        <v>0</v>
      </c>
      <c r="N120" s="5">
        <f t="shared" si="35"/>
        <v>0</v>
      </c>
      <c r="O120" s="5">
        <v>0</v>
      </c>
      <c r="P120" s="5">
        <v>0</v>
      </c>
      <c r="Q120" s="5"/>
      <c r="R120" s="5"/>
      <c r="S120" s="5">
        <f t="shared" si="36"/>
        <v>0</v>
      </c>
      <c r="T120" s="7">
        <f>I120-S120</f>
        <v>0</v>
      </c>
      <c r="U120" s="5">
        <f>+S120</f>
        <v>0</v>
      </c>
      <c r="V120" s="5">
        <v>0</v>
      </c>
      <c r="Y120" s="300"/>
    </row>
    <row r="121" spans="1:25" s="98" customFormat="1" ht="11.25">
      <c r="A121" s="103"/>
      <c r="B121" s="100"/>
      <c r="C121" s="100">
        <v>360</v>
      </c>
      <c r="D121" s="2" t="s">
        <v>77</v>
      </c>
      <c r="E121" s="2" t="s">
        <v>21</v>
      </c>
      <c r="F121" s="103" t="s">
        <v>46</v>
      </c>
      <c r="G121" s="5">
        <f>30000000+8550000</f>
        <v>38550000</v>
      </c>
      <c r="H121" s="5">
        <v>0</v>
      </c>
      <c r="I121" s="5">
        <f>G121+H121</f>
        <v>38550000</v>
      </c>
      <c r="J121" s="5">
        <v>0</v>
      </c>
      <c r="K121" s="5">
        <v>0</v>
      </c>
      <c r="L121" s="5">
        <v>0</v>
      </c>
      <c r="M121" s="5">
        <v>0</v>
      </c>
      <c r="N121" s="5">
        <f t="shared" si="35"/>
        <v>0</v>
      </c>
      <c r="O121" s="5">
        <v>0</v>
      </c>
      <c r="P121" s="5">
        <v>0</v>
      </c>
      <c r="Q121" s="5">
        <f>+GENUINO!R139</f>
        <v>0</v>
      </c>
      <c r="R121" s="5"/>
      <c r="S121" s="5">
        <f t="shared" si="36"/>
        <v>0</v>
      </c>
      <c r="T121" s="7">
        <f>I121-S121</f>
        <v>38550000</v>
      </c>
      <c r="U121" s="5">
        <f>+S121</f>
        <v>0</v>
      </c>
      <c r="V121" s="5">
        <v>0</v>
      </c>
      <c r="Y121" s="300"/>
    </row>
    <row r="122" spans="1:25" s="83" customFormat="1" ht="11.25">
      <c r="A122" s="104"/>
      <c r="B122" s="101"/>
      <c r="C122" s="101"/>
      <c r="D122" s="17"/>
      <c r="E122" s="17"/>
      <c r="F122" s="104"/>
      <c r="G122" s="5"/>
      <c r="H122" s="5"/>
      <c r="I122" s="5"/>
      <c r="J122" s="5"/>
      <c r="K122" s="5"/>
      <c r="L122" s="5"/>
      <c r="M122" s="5"/>
      <c r="N122" s="5">
        <f t="shared" si="35"/>
        <v>0</v>
      </c>
      <c r="O122" s="5"/>
      <c r="P122" s="5"/>
      <c r="Q122" s="5"/>
      <c r="R122" s="5"/>
      <c r="S122" s="5">
        <f t="shared" si="36"/>
        <v>0</v>
      </c>
      <c r="T122" s="7"/>
      <c r="U122" s="5"/>
      <c r="V122" s="5"/>
      <c r="Y122" s="300"/>
    </row>
    <row r="123" spans="1:25" s="98" customFormat="1" ht="11.25">
      <c r="A123" s="102"/>
      <c r="B123" s="43">
        <v>390</v>
      </c>
      <c r="C123" s="43"/>
      <c r="D123" s="1"/>
      <c r="E123" s="1"/>
      <c r="F123" s="102" t="s">
        <v>52</v>
      </c>
      <c r="G123" s="3">
        <f aca="true" t="shared" si="53" ref="G123:U123">SUM(G124:G128)</f>
        <v>16912500</v>
      </c>
      <c r="H123" s="3">
        <f t="shared" si="53"/>
        <v>0</v>
      </c>
      <c r="I123" s="3">
        <f t="shared" si="53"/>
        <v>16912500</v>
      </c>
      <c r="J123" s="3">
        <f t="shared" si="53"/>
        <v>226000</v>
      </c>
      <c r="K123" s="3">
        <f t="shared" si="53"/>
        <v>158000</v>
      </c>
      <c r="L123" s="3">
        <f t="shared" si="53"/>
        <v>0</v>
      </c>
      <c r="M123" s="3">
        <f t="shared" si="53"/>
        <v>1394948</v>
      </c>
      <c r="N123" s="3">
        <f t="shared" si="53"/>
        <v>1778948</v>
      </c>
      <c r="O123" s="3">
        <f t="shared" si="53"/>
        <v>3934200</v>
      </c>
      <c r="P123" s="3">
        <f t="shared" si="53"/>
        <v>3900000</v>
      </c>
      <c r="Q123" s="3">
        <f t="shared" si="53"/>
        <v>1513000</v>
      </c>
      <c r="R123" s="3">
        <f t="shared" si="53"/>
        <v>5173000</v>
      </c>
      <c r="S123" s="3">
        <f t="shared" si="53"/>
        <v>16299148</v>
      </c>
      <c r="T123" s="3">
        <f t="shared" si="53"/>
        <v>613352</v>
      </c>
      <c r="U123" s="3">
        <f t="shared" si="53"/>
        <v>16299148</v>
      </c>
      <c r="V123" s="3">
        <f>SUM(V124:V128)</f>
        <v>0</v>
      </c>
      <c r="Y123" s="300"/>
    </row>
    <row r="124" spans="1:25" s="98" customFormat="1" ht="11.25">
      <c r="A124" s="103"/>
      <c r="B124" s="100"/>
      <c r="C124" s="100">
        <v>390</v>
      </c>
      <c r="D124" s="2" t="s">
        <v>77</v>
      </c>
      <c r="E124" s="2" t="s">
        <v>32</v>
      </c>
      <c r="F124" s="103" t="s">
        <v>52</v>
      </c>
      <c r="G124" s="5">
        <v>0</v>
      </c>
      <c r="H124" s="5">
        <v>0</v>
      </c>
      <c r="I124" s="5">
        <f>G124+H124</f>
        <v>0</v>
      </c>
      <c r="J124" s="5">
        <v>0</v>
      </c>
      <c r="K124" s="5">
        <v>0</v>
      </c>
      <c r="L124" s="5">
        <v>0</v>
      </c>
      <c r="M124" s="5">
        <v>0</v>
      </c>
      <c r="N124" s="5">
        <f t="shared" si="35"/>
        <v>0</v>
      </c>
      <c r="O124" s="5">
        <v>0</v>
      </c>
      <c r="P124" s="5">
        <v>0</v>
      </c>
      <c r="Q124" s="5"/>
      <c r="R124" s="5"/>
      <c r="S124" s="5">
        <f t="shared" si="36"/>
        <v>0</v>
      </c>
      <c r="T124" s="7">
        <v>0</v>
      </c>
      <c r="U124" s="5">
        <v>0</v>
      </c>
      <c r="V124" s="5">
        <v>0</v>
      </c>
      <c r="Y124" s="300"/>
    </row>
    <row r="125" spans="1:25" s="98" customFormat="1" ht="11.25">
      <c r="A125" s="103"/>
      <c r="B125" s="100"/>
      <c r="C125" s="100">
        <v>390</v>
      </c>
      <c r="D125" s="2" t="s">
        <v>77</v>
      </c>
      <c r="E125" s="2" t="s">
        <v>58</v>
      </c>
      <c r="F125" s="103" t="s">
        <v>52</v>
      </c>
      <c r="G125" s="5">
        <v>0</v>
      </c>
      <c r="H125" s="5">
        <v>0</v>
      </c>
      <c r="I125" s="5">
        <f>G125+H125</f>
        <v>0</v>
      </c>
      <c r="J125" s="5">
        <v>0</v>
      </c>
      <c r="K125" s="5">
        <v>0</v>
      </c>
      <c r="L125" s="5">
        <v>0</v>
      </c>
      <c r="M125" s="5">
        <v>0</v>
      </c>
      <c r="N125" s="5">
        <f t="shared" si="35"/>
        <v>0</v>
      </c>
      <c r="O125" s="5">
        <v>0</v>
      </c>
      <c r="P125" s="5">
        <v>0</v>
      </c>
      <c r="Q125" s="5"/>
      <c r="R125" s="5"/>
      <c r="S125" s="5">
        <f t="shared" si="36"/>
        <v>0</v>
      </c>
      <c r="T125" s="7">
        <f>I125-S125</f>
        <v>0</v>
      </c>
      <c r="U125" s="5">
        <v>0</v>
      </c>
      <c r="V125" s="5">
        <v>0</v>
      </c>
      <c r="Y125" s="300"/>
    </row>
    <row r="126" spans="1:25" s="98" customFormat="1" ht="11.25">
      <c r="A126" s="103"/>
      <c r="B126" s="100"/>
      <c r="C126" s="100">
        <v>390</v>
      </c>
      <c r="D126" s="2" t="s">
        <v>77</v>
      </c>
      <c r="E126" s="2" t="s">
        <v>33</v>
      </c>
      <c r="F126" s="103" t="s">
        <v>52</v>
      </c>
      <c r="G126" s="5">
        <v>0</v>
      </c>
      <c r="H126" s="5">
        <v>0</v>
      </c>
      <c r="I126" s="5">
        <f>G126+H126</f>
        <v>0</v>
      </c>
      <c r="J126" s="5">
        <v>0</v>
      </c>
      <c r="K126" s="5">
        <v>0</v>
      </c>
      <c r="L126" s="5">
        <v>0</v>
      </c>
      <c r="M126" s="5">
        <v>0</v>
      </c>
      <c r="N126" s="5">
        <f t="shared" si="35"/>
        <v>0</v>
      </c>
      <c r="O126" s="5">
        <v>0</v>
      </c>
      <c r="P126" s="5">
        <v>0</v>
      </c>
      <c r="Q126" s="5"/>
      <c r="R126" s="5"/>
      <c r="S126" s="5">
        <f t="shared" si="36"/>
        <v>0</v>
      </c>
      <c r="T126" s="7">
        <f>I126-S126</f>
        <v>0</v>
      </c>
      <c r="U126" s="5">
        <v>0</v>
      </c>
      <c r="V126" s="5">
        <v>0</v>
      </c>
      <c r="Y126" s="300"/>
    </row>
    <row r="127" spans="1:25" s="98" customFormat="1" ht="11.25">
      <c r="A127" s="103"/>
      <c r="B127" s="100"/>
      <c r="C127" s="100">
        <v>390</v>
      </c>
      <c r="D127" s="2" t="s">
        <v>77</v>
      </c>
      <c r="E127" s="2" t="s">
        <v>21</v>
      </c>
      <c r="F127" s="103" t="s">
        <v>52</v>
      </c>
      <c r="G127" s="5">
        <v>16912500</v>
      </c>
      <c r="H127" s="5">
        <v>0</v>
      </c>
      <c r="I127" s="5">
        <f>G127+H127</f>
        <v>16912500</v>
      </c>
      <c r="J127" s="5">
        <v>226000</v>
      </c>
      <c r="K127" s="5">
        <v>158000</v>
      </c>
      <c r="L127" s="5">
        <v>0</v>
      </c>
      <c r="M127" s="5">
        <v>1394948</v>
      </c>
      <c r="N127" s="5">
        <f t="shared" si="35"/>
        <v>1778948</v>
      </c>
      <c r="O127" s="5">
        <v>3934200</v>
      </c>
      <c r="P127" s="5">
        <v>3900000</v>
      </c>
      <c r="Q127" s="5">
        <f>+GENUINO!R144</f>
        <v>1513000</v>
      </c>
      <c r="R127" s="5">
        <f>+GENUINO!S144</f>
        <v>5173000</v>
      </c>
      <c r="S127" s="5">
        <f t="shared" si="36"/>
        <v>16299148</v>
      </c>
      <c r="T127" s="7">
        <f>I127-S127</f>
        <v>613352</v>
      </c>
      <c r="U127" s="5">
        <f>+S127</f>
        <v>16299148</v>
      </c>
      <c r="V127" s="5">
        <v>0</v>
      </c>
      <c r="Y127" s="300"/>
    </row>
    <row r="128" spans="1:25" s="83" customFormat="1" ht="11.25">
      <c r="A128" s="104"/>
      <c r="B128" s="101"/>
      <c r="C128" s="101"/>
      <c r="D128" s="17"/>
      <c r="E128" s="17"/>
      <c r="F128" s="104"/>
      <c r="G128" s="5"/>
      <c r="H128" s="5"/>
      <c r="I128" s="5"/>
      <c r="J128" s="5"/>
      <c r="K128" s="5"/>
      <c r="L128" s="5"/>
      <c r="M128" s="5"/>
      <c r="N128" s="5">
        <f t="shared" si="35"/>
        <v>0</v>
      </c>
      <c r="O128" s="5"/>
      <c r="P128" s="5"/>
      <c r="Q128" s="5"/>
      <c r="R128" s="5"/>
      <c r="S128" s="5">
        <f t="shared" si="36"/>
        <v>0</v>
      </c>
      <c r="T128" s="7"/>
      <c r="U128" s="5"/>
      <c r="V128" s="5"/>
      <c r="Y128" s="300"/>
    </row>
    <row r="129" spans="1:25" s="83" customFormat="1" ht="11.25">
      <c r="A129" s="43">
        <v>700</v>
      </c>
      <c r="B129" s="43"/>
      <c r="C129" s="43"/>
      <c r="D129" s="1"/>
      <c r="E129" s="1"/>
      <c r="F129" s="102" t="s">
        <v>218</v>
      </c>
      <c r="G129" s="3">
        <f aca="true" t="shared" si="54" ref="G129:M130">G130</f>
        <v>0</v>
      </c>
      <c r="H129" s="3">
        <f t="shared" si="54"/>
        <v>0</v>
      </c>
      <c r="I129" s="3">
        <f t="shared" si="54"/>
        <v>0</v>
      </c>
      <c r="J129" s="3">
        <f t="shared" si="54"/>
        <v>0</v>
      </c>
      <c r="K129" s="3">
        <f t="shared" si="54"/>
        <v>0</v>
      </c>
      <c r="L129" s="3">
        <f t="shared" si="54"/>
        <v>0</v>
      </c>
      <c r="M129" s="3">
        <f t="shared" si="54"/>
        <v>0</v>
      </c>
      <c r="N129" s="3">
        <f t="shared" si="35"/>
        <v>0</v>
      </c>
      <c r="O129" s="3">
        <f>O130</f>
        <v>0</v>
      </c>
      <c r="P129" s="3">
        <f>P130</f>
        <v>0</v>
      </c>
      <c r="Q129" s="3"/>
      <c r="R129" s="3"/>
      <c r="S129" s="3">
        <f t="shared" si="36"/>
        <v>0</v>
      </c>
      <c r="T129" s="6">
        <f aca="true" t="shared" si="55" ref="T129:V130">T130</f>
        <v>0</v>
      </c>
      <c r="U129" s="3">
        <f t="shared" si="55"/>
        <v>0</v>
      </c>
      <c r="V129" s="3">
        <f t="shared" si="55"/>
        <v>0</v>
      </c>
      <c r="Y129" s="300"/>
    </row>
    <row r="130" spans="1:25" s="83" customFormat="1" ht="11.25">
      <c r="A130" s="102"/>
      <c r="B130" s="43">
        <v>710</v>
      </c>
      <c r="C130" s="43"/>
      <c r="D130" s="1"/>
      <c r="E130" s="1"/>
      <c r="F130" s="102" t="s">
        <v>258</v>
      </c>
      <c r="G130" s="3">
        <f t="shared" si="54"/>
        <v>0</v>
      </c>
      <c r="H130" s="3">
        <f t="shared" si="54"/>
        <v>0</v>
      </c>
      <c r="I130" s="3">
        <f t="shared" si="54"/>
        <v>0</v>
      </c>
      <c r="J130" s="3">
        <f t="shared" si="54"/>
        <v>0</v>
      </c>
      <c r="K130" s="3">
        <f t="shared" si="54"/>
        <v>0</v>
      </c>
      <c r="L130" s="3">
        <f t="shared" si="54"/>
        <v>0</v>
      </c>
      <c r="M130" s="3">
        <f t="shared" si="54"/>
        <v>0</v>
      </c>
      <c r="N130" s="3">
        <f t="shared" si="35"/>
        <v>0</v>
      </c>
      <c r="O130" s="3">
        <f>O131</f>
        <v>0</v>
      </c>
      <c r="P130" s="3">
        <f>P131</f>
        <v>0</v>
      </c>
      <c r="Q130" s="3"/>
      <c r="R130" s="3"/>
      <c r="S130" s="3">
        <f t="shared" si="36"/>
        <v>0</v>
      </c>
      <c r="T130" s="6">
        <f t="shared" si="55"/>
        <v>0</v>
      </c>
      <c r="U130" s="3">
        <f t="shared" si="55"/>
        <v>0</v>
      </c>
      <c r="V130" s="3">
        <f t="shared" si="55"/>
        <v>0</v>
      </c>
      <c r="Y130" s="300"/>
    </row>
    <row r="131" spans="1:25" s="83" customFormat="1" ht="20.25">
      <c r="A131" s="102"/>
      <c r="B131" s="43"/>
      <c r="C131" s="43">
        <v>713</v>
      </c>
      <c r="D131" s="1"/>
      <c r="E131" s="1"/>
      <c r="F131" s="29" t="s">
        <v>259</v>
      </c>
      <c r="G131" s="107">
        <f aca="true" t="shared" si="56" ref="G131:M131">SUM(G132:G133)</f>
        <v>0</v>
      </c>
      <c r="H131" s="107">
        <f t="shared" si="56"/>
        <v>0</v>
      </c>
      <c r="I131" s="107">
        <f t="shared" si="56"/>
        <v>0</v>
      </c>
      <c r="J131" s="107">
        <f t="shared" si="56"/>
        <v>0</v>
      </c>
      <c r="K131" s="107">
        <f t="shared" si="56"/>
        <v>0</v>
      </c>
      <c r="L131" s="107">
        <f t="shared" si="56"/>
        <v>0</v>
      </c>
      <c r="M131" s="107">
        <f t="shared" si="56"/>
        <v>0</v>
      </c>
      <c r="N131" s="107">
        <f t="shared" si="35"/>
        <v>0</v>
      </c>
      <c r="O131" s="107">
        <f aca="true" t="shared" si="57" ref="O131:V131">SUM(O132:O133)</f>
        <v>0</v>
      </c>
      <c r="P131" s="107">
        <f t="shared" si="57"/>
        <v>0</v>
      </c>
      <c r="Q131" s="107"/>
      <c r="R131" s="107"/>
      <c r="S131" s="107">
        <f t="shared" si="36"/>
        <v>0</v>
      </c>
      <c r="T131" s="140">
        <f t="shared" si="57"/>
        <v>0</v>
      </c>
      <c r="U131" s="107">
        <f t="shared" si="57"/>
        <v>0</v>
      </c>
      <c r="V131" s="107">
        <f t="shared" si="57"/>
        <v>0</v>
      </c>
      <c r="Y131" s="300"/>
    </row>
    <row r="132" spans="1:25" s="83" customFormat="1" ht="11.25">
      <c r="A132" s="108"/>
      <c r="B132" s="100"/>
      <c r="C132" s="109">
        <v>713</v>
      </c>
      <c r="D132" s="8" t="s">
        <v>77</v>
      </c>
      <c r="E132" s="8" t="s">
        <v>21</v>
      </c>
      <c r="F132" s="110" t="s">
        <v>259</v>
      </c>
      <c r="G132" s="111">
        <v>0</v>
      </c>
      <c r="H132" s="111">
        <v>0</v>
      </c>
      <c r="I132" s="111">
        <f>G132+H132</f>
        <v>0</v>
      </c>
      <c r="J132" s="5">
        <v>0</v>
      </c>
      <c r="K132" s="5">
        <v>0</v>
      </c>
      <c r="L132" s="5">
        <v>0</v>
      </c>
      <c r="M132" s="5">
        <v>0</v>
      </c>
      <c r="N132" s="5">
        <f t="shared" si="35"/>
        <v>0</v>
      </c>
      <c r="O132" s="5">
        <v>0</v>
      </c>
      <c r="P132" s="5">
        <v>0</v>
      </c>
      <c r="Q132" s="5"/>
      <c r="R132" s="5"/>
      <c r="S132" s="5">
        <f t="shared" si="36"/>
        <v>0</v>
      </c>
      <c r="T132" s="7">
        <v>0</v>
      </c>
      <c r="U132" s="5">
        <v>0</v>
      </c>
      <c r="V132" s="5">
        <v>0</v>
      </c>
      <c r="Y132" s="300"/>
    </row>
    <row r="133" spans="1:25" s="83" customFormat="1" ht="11.25">
      <c r="A133" s="104"/>
      <c r="B133" s="101"/>
      <c r="C133" s="101"/>
      <c r="D133" s="17"/>
      <c r="E133" s="17"/>
      <c r="F133" s="104"/>
      <c r="G133" s="5"/>
      <c r="H133" s="5"/>
      <c r="I133" s="5"/>
      <c r="J133" s="5"/>
      <c r="K133" s="5"/>
      <c r="L133" s="5"/>
      <c r="M133" s="5"/>
      <c r="N133" s="5">
        <f t="shared" si="35"/>
        <v>0</v>
      </c>
      <c r="O133" s="5"/>
      <c r="P133" s="5"/>
      <c r="Q133" s="5"/>
      <c r="R133" s="5"/>
      <c r="S133" s="5">
        <f t="shared" si="36"/>
        <v>0</v>
      </c>
      <c r="T133" s="7"/>
      <c r="U133" s="5"/>
      <c r="V133" s="5"/>
      <c r="Y133" s="300"/>
    </row>
    <row r="134" spans="1:25" s="98" customFormat="1" ht="11.25">
      <c r="A134" s="43">
        <v>800</v>
      </c>
      <c r="B134" s="43"/>
      <c r="C134" s="43"/>
      <c r="D134" s="1"/>
      <c r="E134" s="1"/>
      <c r="F134" s="102" t="s">
        <v>82</v>
      </c>
      <c r="G134" s="3">
        <f aca="true" t="shared" si="58" ref="G134:U134">G135+G141+G153</f>
        <v>461835460</v>
      </c>
      <c r="H134" s="3">
        <f t="shared" si="58"/>
        <v>157822948</v>
      </c>
      <c r="I134" s="3">
        <f t="shared" si="58"/>
        <v>619658408</v>
      </c>
      <c r="J134" s="3">
        <f t="shared" si="58"/>
        <v>0</v>
      </c>
      <c r="K134" s="3">
        <f t="shared" si="58"/>
        <v>0</v>
      </c>
      <c r="L134" s="3">
        <f t="shared" si="58"/>
        <v>0</v>
      </c>
      <c r="M134" s="3">
        <f t="shared" si="58"/>
        <v>66857318</v>
      </c>
      <c r="N134" s="3">
        <f t="shared" si="58"/>
        <v>66857318</v>
      </c>
      <c r="O134" s="3">
        <f t="shared" si="58"/>
        <v>10888505</v>
      </c>
      <c r="P134" s="3">
        <f t="shared" si="58"/>
        <v>91018377</v>
      </c>
      <c r="Q134" s="3">
        <f t="shared" si="58"/>
        <v>4428965</v>
      </c>
      <c r="R134" s="3">
        <f t="shared" si="58"/>
        <v>9546240</v>
      </c>
      <c r="S134" s="3">
        <f t="shared" si="58"/>
        <v>182739405</v>
      </c>
      <c r="T134" s="3">
        <f t="shared" si="58"/>
        <v>428039003</v>
      </c>
      <c r="U134" s="3">
        <f t="shared" si="58"/>
        <v>181619405</v>
      </c>
      <c r="V134" s="3">
        <f>V135+V141+V153</f>
        <v>0</v>
      </c>
      <c r="Y134" s="300"/>
    </row>
    <row r="135" spans="1:25" s="98" customFormat="1" ht="11.25">
      <c r="A135" s="102"/>
      <c r="B135" s="43">
        <v>810</v>
      </c>
      <c r="C135" s="43"/>
      <c r="D135" s="1"/>
      <c r="E135" s="1"/>
      <c r="F135" s="102" t="s">
        <v>53</v>
      </c>
      <c r="G135" s="3">
        <f aca="true" t="shared" si="59" ref="G135:M135">G136</f>
        <v>0</v>
      </c>
      <c r="H135" s="3">
        <f t="shared" si="59"/>
        <v>0</v>
      </c>
      <c r="I135" s="3">
        <f t="shared" si="59"/>
        <v>0</v>
      </c>
      <c r="J135" s="3">
        <f t="shared" si="59"/>
        <v>0</v>
      </c>
      <c r="K135" s="3">
        <f t="shared" si="59"/>
        <v>0</v>
      </c>
      <c r="L135" s="3">
        <f t="shared" si="59"/>
        <v>0</v>
      </c>
      <c r="M135" s="3">
        <f t="shared" si="59"/>
        <v>0</v>
      </c>
      <c r="N135" s="3">
        <f t="shared" si="35"/>
        <v>0</v>
      </c>
      <c r="O135" s="3">
        <f aca="true" t="shared" si="60" ref="O135:V135">O136</f>
        <v>0</v>
      </c>
      <c r="P135" s="3">
        <f t="shared" si="60"/>
        <v>0</v>
      </c>
      <c r="Q135" s="3"/>
      <c r="R135" s="3"/>
      <c r="S135" s="3">
        <f t="shared" si="36"/>
        <v>0</v>
      </c>
      <c r="T135" s="6">
        <f t="shared" si="60"/>
        <v>0</v>
      </c>
      <c r="U135" s="3">
        <f t="shared" si="60"/>
        <v>0</v>
      </c>
      <c r="V135" s="3">
        <f t="shared" si="60"/>
        <v>0</v>
      </c>
      <c r="Y135" s="300"/>
    </row>
    <row r="136" spans="1:25" s="98" customFormat="1" ht="20.25">
      <c r="A136" s="102"/>
      <c r="B136" s="43"/>
      <c r="C136" s="43">
        <v>814</v>
      </c>
      <c r="D136" s="1"/>
      <c r="E136" s="1"/>
      <c r="F136" s="29" t="s">
        <v>233</v>
      </c>
      <c r="G136" s="107">
        <f aca="true" t="shared" si="61" ref="G136:M136">SUM(G137:G140)</f>
        <v>0</v>
      </c>
      <c r="H136" s="107">
        <f t="shared" si="61"/>
        <v>0</v>
      </c>
      <c r="I136" s="107">
        <f t="shared" si="61"/>
        <v>0</v>
      </c>
      <c r="J136" s="107">
        <f t="shared" si="61"/>
        <v>0</v>
      </c>
      <c r="K136" s="107">
        <f t="shared" si="61"/>
        <v>0</v>
      </c>
      <c r="L136" s="107">
        <f t="shared" si="61"/>
        <v>0</v>
      </c>
      <c r="M136" s="107">
        <f t="shared" si="61"/>
        <v>0</v>
      </c>
      <c r="N136" s="107">
        <f t="shared" si="35"/>
        <v>0</v>
      </c>
      <c r="O136" s="107">
        <f aca="true" t="shared" si="62" ref="O136:V136">SUM(O137:O140)</f>
        <v>0</v>
      </c>
      <c r="P136" s="107">
        <f t="shared" si="62"/>
        <v>0</v>
      </c>
      <c r="Q136" s="107"/>
      <c r="R136" s="107"/>
      <c r="S136" s="107">
        <f t="shared" si="36"/>
        <v>0</v>
      </c>
      <c r="T136" s="140">
        <f t="shared" si="62"/>
        <v>0</v>
      </c>
      <c r="U136" s="107">
        <f t="shared" si="62"/>
        <v>0</v>
      </c>
      <c r="V136" s="107">
        <f t="shared" si="62"/>
        <v>0</v>
      </c>
      <c r="Y136" s="300"/>
    </row>
    <row r="137" spans="1:25" s="98" customFormat="1" ht="20.25">
      <c r="A137" s="108"/>
      <c r="B137" s="100"/>
      <c r="C137" s="109">
        <v>814</v>
      </c>
      <c r="D137" s="8" t="s">
        <v>77</v>
      </c>
      <c r="E137" s="8" t="s">
        <v>21</v>
      </c>
      <c r="F137" s="110" t="s">
        <v>154</v>
      </c>
      <c r="G137" s="111">
        <v>0</v>
      </c>
      <c r="H137" s="111">
        <v>0</v>
      </c>
      <c r="I137" s="111">
        <f>G137+H137</f>
        <v>0</v>
      </c>
      <c r="J137" s="5">
        <v>0</v>
      </c>
      <c r="K137" s="5">
        <v>0</v>
      </c>
      <c r="L137" s="5">
        <v>0</v>
      </c>
      <c r="M137" s="5">
        <v>0</v>
      </c>
      <c r="N137" s="5">
        <f t="shared" si="35"/>
        <v>0</v>
      </c>
      <c r="O137" s="5">
        <v>0</v>
      </c>
      <c r="P137" s="5">
        <v>0</v>
      </c>
      <c r="Q137" s="5"/>
      <c r="R137" s="5"/>
      <c r="S137" s="5">
        <f t="shared" si="36"/>
        <v>0</v>
      </c>
      <c r="T137" s="7">
        <v>0</v>
      </c>
      <c r="U137" s="5">
        <v>0</v>
      </c>
      <c r="V137" s="5">
        <v>0</v>
      </c>
      <c r="Y137" s="300"/>
    </row>
    <row r="138" spans="1:25" s="98" customFormat="1" ht="20.25">
      <c r="A138" s="103"/>
      <c r="B138" s="100"/>
      <c r="C138" s="100">
        <v>814</v>
      </c>
      <c r="D138" s="2" t="s">
        <v>77</v>
      </c>
      <c r="E138" s="2" t="s">
        <v>21</v>
      </c>
      <c r="F138" s="112" t="s">
        <v>155</v>
      </c>
      <c r="G138" s="5">
        <v>0</v>
      </c>
      <c r="H138" s="5">
        <v>0</v>
      </c>
      <c r="I138" s="5">
        <f>G138+H138</f>
        <v>0</v>
      </c>
      <c r="J138" s="5">
        <v>0</v>
      </c>
      <c r="K138" s="5">
        <v>0</v>
      </c>
      <c r="L138" s="5">
        <v>0</v>
      </c>
      <c r="M138" s="5">
        <v>0</v>
      </c>
      <c r="N138" s="5">
        <f t="shared" si="35"/>
        <v>0</v>
      </c>
      <c r="O138" s="5">
        <v>0</v>
      </c>
      <c r="P138" s="5">
        <v>0</v>
      </c>
      <c r="Q138" s="5"/>
      <c r="R138" s="5"/>
      <c r="S138" s="5">
        <f t="shared" si="36"/>
        <v>0</v>
      </c>
      <c r="T138" s="7">
        <v>0</v>
      </c>
      <c r="U138" s="5">
        <v>0</v>
      </c>
      <c r="V138" s="5">
        <v>0</v>
      </c>
      <c r="Y138" s="300"/>
    </row>
    <row r="139" spans="1:25" s="98" customFormat="1" ht="20.25">
      <c r="A139" s="103"/>
      <c r="B139" s="100"/>
      <c r="C139" s="100">
        <v>814</v>
      </c>
      <c r="D139" s="2" t="s">
        <v>77</v>
      </c>
      <c r="E139" s="2" t="s">
        <v>21</v>
      </c>
      <c r="F139" s="112" t="s">
        <v>156</v>
      </c>
      <c r="G139" s="5">
        <v>0</v>
      </c>
      <c r="H139" s="5">
        <v>0</v>
      </c>
      <c r="I139" s="5">
        <f>G139+H139</f>
        <v>0</v>
      </c>
      <c r="J139" s="5">
        <v>0</v>
      </c>
      <c r="K139" s="5">
        <v>0</v>
      </c>
      <c r="L139" s="5">
        <v>0</v>
      </c>
      <c r="M139" s="5">
        <v>0</v>
      </c>
      <c r="N139" s="5">
        <f t="shared" si="35"/>
        <v>0</v>
      </c>
      <c r="O139" s="5">
        <v>0</v>
      </c>
      <c r="P139" s="5">
        <v>0</v>
      </c>
      <c r="Q139" s="5"/>
      <c r="R139" s="5"/>
      <c r="S139" s="5">
        <f t="shared" si="36"/>
        <v>0</v>
      </c>
      <c r="T139" s="7">
        <v>0</v>
      </c>
      <c r="U139" s="5">
        <v>0</v>
      </c>
      <c r="V139" s="5">
        <v>0</v>
      </c>
      <c r="Y139" s="300"/>
    </row>
    <row r="140" spans="1:25" s="83" customFormat="1" ht="11.25">
      <c r="A140" s="104"/>
      <c r="B140" s="101"/>
      <c r="C140" s="101"/>
      <c r="D140" s="17"/>
      <c r="E140" s="17"/>
      <c r="F140" s="104"/>
      <c r="G140" s="5"/>
      <c r="H140" s="5"/>
      <c r="I140" s="5"/>
      <c r="J140" s="5"/>
      <c r="K140" s="5"/>
      <c r="L140" s="5"/>
      <c r="M140" s="5"/>
      <c r="N140" s="5">
        <f t="shared" si="35"/>
        <v>0</v>
      </c>
      <c r="O140" s="5"/>
      <c r="P140" s="5"/>
      <c r="Q140" s="5"/>
      <c r="R140" s="5"/>
      <c r="S140" s="5">
        <f t="shared" si="36"/>
        <v>0</v>
      </c>
      <c r="T140" s="7"/>
      <c r="U140" s="5"/>
      <c r="V140" s="5"/>
      <c r="Y140" s="300"/>
    </row>
    <row r="141" spans="1:25" s="98" customFormat="1" ht="20.25">
      <c r="A141" s="43"/>
      <c r="B141" s="43">
        <v>830</v>
      </c>
      <c r="C141" s="43"/>
      <c r="D141" s="1"/>
      <c r="E141" s="1"/>
      <c r="F141" s="113" t="s">
        <v>150</v>
      </c>
      <c r="G141" s="3">
        <f aca="true" t="shared" si="63" ref="G141:M141">G142+G145+G148</f>
        <v>146400000</v>
      </c>
      <c r="H141" s="3">
        <f t="shared" si="63"/>
        <v>42090000</v>
      </c>
      <c r="I141" s="3">
        <f t="shared" si="63"/>
        <v>188490000</v>
      </c>
      <c r="J141" s="3">
        <f t="shared" si="63"/>
        <v>0</v>
      </c>
      <c r="K141" s="3">
        <f t="shared" si="63"/>
        <v>0</v>
      </c>
      <c r="L141" s="3">
        <f t="shared" si="63"/>
        <v>0</v>
      </c>
      <c r="M141" s="3">
        <f t="shared" si="63"/>
        <v>66857318</v>
      </c>
      <c r="N141" s="3">
        <f t="shared" si="35"/>
        <v>66857318</v>
      </c>
      <c r="O141" s="3">
        <f aca="true" t="shared" si="64" ref="O141:V141">O142+O145+O148</f>
        <v>10888505</v>
      </c>
      <c r="P141" s="3">
        <f t="shared" si="64"/>
        <v>89903144</v>
      </c>
      <c r="Q141" s="3">
        <f t="shared" si="64"/>
        <v>3308965</v>
      </c>
      <c r="R141" s="3">
        <f t="shared" si="64"/>
        <v>9546240</v>
      </c>
      <c r="S141" s="3">
        <f t="shared" si="36"/>
        <v>180504172</v>
      </c>
      <c r="T141" s="6">
        <f t="shared" si="64"/>
        <v>7985828</v>
      </c>
      <c r="U141" s="3">
        <f t="shared" si="64"/>
        <v>180504172</v>
      </c>
      <c r="V141" s="3">
        <f t="shared" si="64"/>
        <v>0</v>
      </c>
      <c r="Y141" s="300"/>
    </row>
    <row r="142" spans="1:25" s="98" customFormat="1" ht="20.25">
      <c r="A142" s="103"/>
      <c r="B142" s="100"/>
      <c r="C142" s="43">
        <v>831</v>
      </c>
      <c r="D142" s="2"/>
      <c r="E142" s="2"/>
      <c r="F142" s="114" t="s">
        <v>234</v>
      </c>
      <c r="G142" s="107">
        <f aca="true" t="shared" si="65" ref="G142:M142">SUM(G143:G144)</f>
        <v>0</v>
      </c>
      <c r="H142" s="107">
        <f t="shared" si="65"/>
        <v>0</v>
      </c>
      <c r="I142" s="107">
        <f t="shared" si="65"/>
        <v>0</v>
      </c>
      <c r="J142" s="107">
        <f t="shared" si="65"/>
        <v>0</v>
      </c>
      <c r="K142" s="107">
        <f t="shared" si="65"/>
        <v>0</v>
      </c>
      <c r="L142" s="107">
        <f t="shared" si="65"/>
        <v>0</v>
      </c>
      <c r="M142" s="107">
        <f t="shared" si="65"/>
        <v>0</v>
      </c>
      <c r="N142" s="107">
        <f t="shared" si="35"/>
        <v>0</v>
      </c>
      <c r="O142" s="107">
        <f aca="true" t="shared" si="66" ref="O142:V142">SUM(O143:O144)</f>
        <v>0</v>
      </c>
      <c r="P142" s="107">
        <f t="shared" si="66"/>
        <v>0</v>
      </c>
      <c r="Q142" s="107"/>
      <c r="R142" s="107"/>
      <c r="S142" s="107">
        <f t="shared" si="36"/>
        <v>0</v>
      </c>
      <c r="T142" s="140">
        <f t="shared" si="66"/>
        <v>0</v>
      </c>
      <c r="U142" s="107">
        <f t="shared" si="66"/>
        <v>0</v>
      </c>
      <c r="V142" s="107">
        <f t="shared" si="66"/>
        <v>0</v>
      </c>
      <c r="Y142" s="300"/>
    </row>
    <row r="143" spans="1:25" s="98" customFormat="1" ht="11.25">
      <c r="A143" s="103"/>
      <c r="B143" s="100"/>
      <c r="C143" s="100">
        <v>831</v>
      </c>
      <c r="D143" s="2" t="s">
        <v>77</v>
      </c>
      <c r="E143" s="2" t="s">
        <v>21</v>
      </c>
      <c r="F143" s="103" t="s">
        <v>171</v>
      </c>
      <c r="G143" s="5">
        <v>0</v>
      </c>
      <c r="H143" s="5">
        <v>0</v>
      </c>
      <c r="I143" s="5">
        <f>G143+H143</f>
        <v>0</v>
      </c>
      <c r="J143" s="5">
        <v>0</v>
      </c>
      <c r="K143" s="5">
        <v>0</v>
      </c>
      <c r="L143" s="5">
        <v>0</v>
      </c>
      <c r="M143" s="5">
        <v>0</v>
      </c>
      <c r="N143" s="5">
        <f t="shared" si="35"/>
        <v>0</v>
      </c>
      <c r="O143" s="5">
        <v>0</v>
      </c>
      <c r="P143" s="5">
        <v>0</v>
      </c>
      <c r="Q143" s="5"/>
      <c r="R143" s="5"/>
      <c r="S143" s="5">
        <f t="shared" si="36"/>
        <v>0</v>
      </c>
      <c r="T143" s="7">
        <v>0</v>
      </c>
      <c r="U143" s="5">
        <v>0</v>
      </c>
      <c r="V143" s="5">
        <v>0</v>
      </c>
      <c r="Y143" s="300"/>
    </row>
    <row r="144" spans="1:25" s="83" customFormat="1" ht="11.25">
      <c r="A144" s="104"/>
      <c r="B144" s="101"/>
      <c r="C144" s="101"/>
      <c r="D144" s="17"/>
      <c r="E144" s="17"/>
      <c r="F144" s="104"/>
      <c r="G144" s="5"/>
      <c r="H144" s="5"/>
      <c r="I144" s="5"/>
      <c r="J144" s="5"/>
      <c r="K144" s="5"/>
      <c r="L144" s="5"/>
      <c r="M144" s="5"/>
      <c r="N144" s="5">
        <f t="shared" si="35"/>
        <v>0</v>
      </c>
      <c r="O144" s="5"/>
      <c r="P144" s="5"/>
      <c r="Q144" s="5"/>
      <c r="R144" s="5"/>
      <c r="S144" s="5">
        <f t="shared" si="36"/>
        <v>0</v>
      </c>
      <c r="T144" s="7"/>
      <c r="U144" s="5"/>
      <c r="V144" s="5"/>
      <c r="Y144" s="300"/>
    </row>
    <row r="145" spans="1:25" s="98" customFormat="1" ht="11.25">
      <c r="A145" s="103"/>
      <c r="B145" s="100"/>
      <c r="C145" s="43">
        <v>833</v>
      </c>
      <c r="D145" s="2"/>
      <c r="E145" s="2"/>
      <c r="F145" s="102" t="s">
        <v>56</v>
      </c>
      <c r="G145" s="3">
        <f aca="true" t="shared" si="67" ref="G145:U145">G146</f>
        <v>72000000</v>
      </c>
      <c r="H145" s="3">
        <f t="shared" si="67"/>
        <v>17545000</v>
      </c>
      <c r="I145" s="3">
        <f t="shared" si="67"/>
        <v>89545000</v>
      </c>
      <c r="J145" s="3">
        <f t="shared" si="67"/>
        <v>0</v>
      </c>
      <c r="K145" s="3">
        <f t="shared" si="67"/>
        <v>0</v>
      </c>
      <c r="L145" s="3">
        <f t="shared" si="67"/>
        <v>0</v>
      </c>
      <c r="M145" s="3">
        <f t="shared" si="67"/>
        <v>33428659</v>
      </c>
      <c r="N145" s="3">
        <f t="shared" si="67"/>
        <v>33428659</v>
      </c>
      <c r="O145" s="3">
        <f t="shared" si="67"/>
        <v>9328548</v>
      </c>
      <c r="P145" s="3">
        <f t="shared" si="67"/>
        <v>40287298</v>
      </c>
      <c r="Q145" s="3">
        <f t="shared" si="67"/>
        <v>485452</v>
      </c>
      <c r="R145" s="3">
        <f t="shared" si="67"/>
        <v>4773120</v>
      </c>
      <c r="S145" s="3">
        <f t="shared" si="67"/>
        <v>88303077</v>
      </c>
      <c r="T145" s="3">
        <f t="shared" si="67"/>
        <v>1241923</v>
      </c>
      <c r="U145" s="3">
        <f t="shared" si="67"/>
        <v>88303077</v>
      </c>
      <c r="V145" s="3">
        <f>V146</f>
        <v>0</v>
      </c>
      <c r="Y145" s="300"/>
    </row>
    <row r="146" spans="1:25" s="98" customFormat="1" ht="11.25">
      <c r="A146" s="103"/>
      <c r="B146" s="100"/>
      <c r="C146" s="100">
        <v>833</v>
      </c>
      <c r="D146" s="2" t="s">
        <v>77</v>
      </c>
      <c r="E146" s="2" t="s">
        <v>21</v>
      </c>
      <c r="F146" s="103" t="s">
        <v>172</v>
      </c>
      <c r="G146" s="5">
        <v>72000000</v>
      </c>
      <c r="H146" s="5">
        <f>11045000+6500000</f>
        <v>17545000</v>
      </c>
      <c r="I146" s="5">
        <f>G146+H146</f>
        <v>89545000</v>
      </c>
      <c r="J146" s="5">
        <v>0</v>
      </c>
      <c r="K146" s="5">
        <v>0</v>
      </c>
      <c r="L146" s="5">
        <v>0</v>
      </c>
      <c r="M146" s="5">
        <v>33428659</v>
      </c>
      <c r="N146" s="5">
        <f aca="true" t="shared" si="68" ref="N146:N209">+J146+K146+L146+M146</f>
        <v>33428659</v>
      </c>
      <c r="O146" s="5">
        <v>9328548</v>
      </c>
      <c r="P146" s="5">
        <v>40287298</v>
      </c>
      <c r="Q146" s="5">
        <f>+GENUINO!R163</f>
        <v>485452</v>
      </c>
      <c r="R146" s="5">
        <f>+GENUINO!S163</f>
        <v>4773120</v>
      </c>
      <c r="S146" s="5">
        <f aca="true" t="shared" si="69" ref="S146:S209">+N146+O146+P146+Q146+R146</f>
        <v>88303077</v>
      </c>
      <c r="T146" s="7">
        <f>I146-S146</f>
        <v>1241923</v>
      </c>
      <c r="U146" s="5">
        <f>+S146</f>
        <v>88303077</v>
      </c>
      <c r="V146" s="5">
        <v>0</v>
      </c>
      <c r="Y146" s="300"/>
    </row>
    <row r="147" spans="1:25" s="83" customFormat="1" ht="11.25">
      <c r="A147" s="104"/>
      <c r="B147" s="101"/>
      <c r="C147" s="101"/>
      <c r="D147" s="17"/>
      <c r="E147" s="17"/>
      <c r="F147" s="104"/>
      <c r="G147" s="5"/>
      <c r="H147" s="5"/>
      <c r="I147" s="5"/>
      <c r="J147" s="5"/>
      <c r="K147" s="5"/>
      <c r="L147" s="5"/>
      <c r="M147" s="5"/>
      <c r="N147" s="5">
        <f t="shared" si="68"/>
        <v>0</v>
      </c>
      <c r="O147" s="5"/>
      <c r="P147" s="5"/>
      <c r="Q147" s="5"/>
      <c r="R147" s="5"/>
      <c r="S147" s="5">
        <f t="shared" si="69"/>
        <v>0</v>
      </c>
      <c r="T147" s="7"/>
      <c r="U147" s="5"/>
      <c r="V147" s="5"/>
      <c r="Y147" s="300"/>
    </row>
    <row r="148" spans="1:25" s="98" customFormat="1" ht="11.25">
      <c r="A148" s="103"/>
      <c r="B148" s="100"/>
      <c r="C148" s="43">
        <v>834</v>
      </c>
      <c r="D148" s="2"/>
      <c r="E148" s="2"/>
      <c r="F148" s="102" t="s">
        <v>57</v>
      </c>
      <c r="G148" s="107">
        <f>SUM(G149:G151)</f>
        <v>74400000</v>
      </c>
      <c r="H148" s="107">
        <f aca="true" t="shared" si="70" ref="H148:U148">SUM(H149:H152)</f>
        <v>24545000</v>
      </c>
      <c r="I148" s="107">
        <f t="shared" si="70"/>
        <v>98945000</v>
      </c>
      <c r="J148" s="107">
        <f t="shared" si="70"/>
        <v>0</v>
      </c>
      <c r="K148" s="107">
        <f t="shared" si="70"/>
        <v>0</v>
      </c>
      <c r="L148" s="107">
        <f t="shared" si="70"/>
        <v>0</v>
      </c>
      <c r="M148" s="107">
        <f t="shared" si="70"/>
        <v>33428659</v>
      </c>
      <c r="N148" s="107">
        <f t="shared" si="70"/>
        <v>33428659</v>
      </c>
      <c r="O148" s="107">
        <f t="shared" si="70"/>
        <v>1559957</v>
      </c>
      <c r="P148" s="107">
        <f t="shared" si="70"/>
        <v>49615846</v>
      </c>
      <c r="Q148" s="107">
        <f t="shared" si="70"/>
        <v>2823513</v>
      </c>
      <c r="R148" s="107">
        <f t="shared" si="70"/>
        <v>4773120</v>
      </c>
      <c r="S148" s="107">
        <f t="shared" si="70"/>
        <v>92201095</v>
      </c>
      <c r="T148" s="107">
        <f t="shared" si="70"/>
        <v>6743905</v>
      </c>
      <c r="U148" s="107">
        <f t="shared" si="70"/>
        <v>92201095</v>
      </c>
      <c r="V148" s="107">
        <f>SUM(V149:V151)</f>
        <v>0</v>
      </c>
      <c r="Y148" s="300"/>
    </row>
    <row r="149" spans="1:25" s="98" customFormat="1" ht="11.25">
      <c r="A149" s="103"/>
      <c r="B149" s="100"/>
      <c r="C149" s="100">
        <v>834</v>
      </c>
      <c r="D149" s="2" t="s">
        <v>77</v>
      </c>
      <c r="E149" s="2" t="s">
        <v>21</v>
      </c>
      <c r="F149" s="103" t="s">
        <v>173</v>
      </c>
      <c r="G149" s="5">
        <v>72000000</v>
      </c>
      <c r="H149" s="5">
        <f>11045000+6500000</f>
        <v>17545000</v>
      </c>
      <c r="I149" s="5">
        <f>G149+H149</f>
        <v>89545000</v>
      </c>
      <c r="J149" s="5">
        <v>0</v>
      </c>
      <c r="K149" s="5">
        <v>0</v>
      </c>
      <c r="L149" s="5">
        <v>0</v>
      </c>
      <c r="M149" s="5">
        <v>33428659</v>
      </c>
      <c r="N149" s="5">
        <f t="shared" si="68"/>
        <v>33428659</v>
      </c>
      <c r="O149" s="5">
        <v>0</v>
      </c>
      <c r="P149" s="5">
        <v>49615846</v>
      </c>
      <c r="Q149" s="5">
        <f>+GENUINO!R165</f>
        <v>485452</v>
      </c>
      <c r="R149" s="5">
        <f>+GENUINO!S165</f>
        <v>4773120</v>
      </c>
      <c r="S149" s="5">
        <f t="shared" si="69"/>
        <v>88303077</v>
      </c>
      <c r="T149" s="7">
        <f>I149-S149</f>
        <v>1241923</v>
      </c>
      <c r="U149" s="5">
        <f>+S149</f>
        <v>88303077</v>
      </c>
      <c r="V149" s="5">
        <v>0</v>
      </c>
      <c r="Y149" s="300"/>
    </row>
    <row r="150" spans="1:25" s="98" customFormat="1" ht="11.25">
      <c r="A150" s="103"/>
      <c r="B150" s="100"/>
      <c r="C150" s="100">
        <v>835</v>
      </c>
      <c r="D150" s="2" t="s">
        <v>77</v>
      </c>
      <c r="E150" s="2" t="s">
        <v>21</v>
      </c>
      <c r="F150" s="103" t="s">
        <v>191</v>
      </c>
      <c r="G150" s="5">
        <v>0</v>
      </c>
      <c r="H150" s="5">
        <v>0</v>
      </c>
      <c r="I150" s="5">
        <f>G150+H150</f>
        <v>0</v>
      </c>
      <c r="J150" s="5">
        <v>0</v>
      </c>
      <c r="K150" s="5">
        <v>0</v>
      </c>
      <c r="L150" s="5">
        <v>0</v>
      </c>
      <c r="M150" s="5">
        <v>0</v>
      </c>
      <c r="N150" s="5">
        <f t="shared" si="68"/>
        <v>0</v>
      </c>
      <c r="O150" s="5">
        <v>0</v>
      </c>
      <c r="P150" s="5">
        <v>0</v>
      </c>
      <c r="Q150" s="5"/>
      <c r="R150" s="5"/>
      <c r="S150" s="5">
        <f t="shared" si="69"/>
        <v>0</v>
      </c>
      <c r="T150" s="7">
        <f>I150-S150</f>
        <v>0</v>
      </c>
      <c r="U150" s="5">
        <f>+S150</f>
        <v>0</v>
      </c>
      <c r="V150" s="5">
        <v>0</v>
      </c>
      <c r="Y150" s="300"/>
    </row>
    <row r="151" spans="1:25" s="98" customFormat="1" ht="9.75">
      <c r="A151" s="103"/>
      <c r="B151" s="100"/>
      <c r="C151" s="100">
        <v>836</v>
      </c>
      <c r="D151" s="2" t="s">
        <v>77</v>
      </c>
      <c r="E151" s="2" t="s">
        <v>21</v>
      </c>
      <c r="F151" s="103" t="s">
        <v>500</v>
      </c>
      <c r="G151" s="5">
        <v>2400000</v>
      </c>
      <c r="H151" s="5"/>
      <c r="I151" s="5">
        <f>G151+H151</f>
        <v>2400000</v>
      </c>
      <c r="J151" s="5">
        <v>0</v>
      </c>
      <c r="K151" s="5">
        <v>0</v>
      </c>
      <c r="L151" s="5">
        <v>0</v>
      </c>
      <c r="M151" s="5">
        <v>0</v>
      </c>
      <c r="N151" s="5">
        <f t="shared" si="68"/>
        <v>0</v>
      </c>
      <c r="O151" s="5">
        <v>0</v>
      </c>
      <c r="P151" s="5"/>
      <c r="Q151" s="5"/>
      <c r="R151" s="5"/>
      <c r="S151" s="5">
        <f t="shared" si="69"/>
        <v>0</v>
      </c>
      <c r="T151" s="7">
        <f>I151-S151</f>
        <v>2400000</v>
      </c>
      <c r="U151" s="5">
        <f>+S151</f>
        <v>0</v>
      </c>
      <c r="V151" s="5">
        <v>0</v>
      </c>
      <c r="Y151" s="237"/>
    </row>
    <row r="152" spans="1:25" s="98" customFormat="1" ht="9.75">
      <c r="A152" s="103"/>
      <c r="B152" s="100"/>
      <c r="C152" s="100">
        <v>839</v>
      </c>
      <c r="D152" s="2" t="s">
        <v>77</v>
      </c>
      <c r="E152" s="2" t="s">
        <v>21</v>
      </c>
      <c r="F152" s="103" t="s">
        <v>191</v>
      </c>
      <c r="G152" s="5"/>
      <c r="H152" s="5">
        <v>7000000</v>
      </c>
      <c r="I152" s="5">
        <f>G152+H152</f>
        <v>7000000</v>
      </c>
      <c r="J152" s="5">
        <v>0</v>
      </c>
      <c r="K152" s="5">
        <v>0</v>
      </c>
      <c r="L152" s="5"/>
      <c r="M152" s="5"/>
      <c r="N152" s="5">
        <f t="shared" si="68"/>
        <v>0</v>
      </c>
      <c r="O152" s="5">
        <v>1559957</v>
      </c>
      <c r="P152" s="5"/>
      <c r="Q152" s="5">
        <f>+GENUINO!R168</f>
        <v>2338061</v>
      </c>
      <c r="R152" s="5">
        <f>+GENUINO!S168</f>
        <v>0</v>
      </c>
      <c r="S152" s="5">
        <f t="shared" si="69"/>
        <v>3898018</v>
      </c>
      <c r="T152" s="7">
        <f>I152-S152</f>
        <v>3101982</v>
      </c>
      <c r="U152" s="5">
        <f>+S152</f>
        <v>3898018</v>
      </c>
      <c r="V152" s="5">
        <v>0</v>
      </c>
      <c r="Y152" s="237"/>
    </row>
    <row r="153" spans="1:25" s="98" customFormat="1" ht="20.25">
      <c r="A153" s="102"/>
      <c r="B153" s="43">
        <v>840</v>
      </c>
      <c r="C153" s="43"/>
      <c r="D153" s="1"/>
      <c r="E153" s="1"/>
      <c r="F153" s="113" t="s">
        <v>151</v>
      </c>
      <c r="G153" s="107">
        <f aca="true" t="shared" si="71" ref="G153:U153">G154+G158+G173+G178+G180</f>
        <v>315435460</v>
      </c>
      <c r="H153" s="107">
        <f t="shared" si="71"/>
        <v>115732948</v>
      </c>
      <c r="I153" s="107">
        <f t="shared" si="71"/>
        <v>431168408</v>
      </c>
      <c r="J153" s="107">
        <f t="shared" si="71"/>
        <v>0</v>
      </c>
      <c r="K153" s="107">
        <f t="shared" si="71"/>
        <v>0</v>
      </c>
      <c r="L153" s="107">
        <f t="shared" si="71"/>
        <v>0</v>
      </c>
      <c r="M153" s="107">
        <f t="shared" si="71"/>
        <v>0</v>
      </c>
      <c r="N153" s="107">
        <f t="shared" si="71"/>
        <v>0</v>
      </c>
      <c r="O153" s="107">
        <f t="shared" si="71"/>
        <v>0</v>
      </c>
      <c r="P153" s="107">
        <f t="shared" si="71"/>
        <v>1115233</v>
      </c>
      <c r="Q153" s="107">
        <f t="shared" si="71"/>
        <v>1120000</v>
      </c>
      <c r="R153" s="107">
        <f t="shared" si="71"/>
        <v>0</v>
      </c>
      <c r="S153" s="107">
        <f t="shared" si="71"/>
        <v>2235233</v>
      </c>
      <c r="T153" s="107">
        <f t="shared" si="71"/>
        <v>420053175</v>
      </c>
      <c r="U153" s="107">
        <f t="shared" si="71"/>
        <v>1115233</v>
      </c>
      <c r="V153" s="107">
        <f>V154+V158+V173+V178</f>
        <v>0</v>
      </c>
      <c r="Y153" s="300"/>
    </row>
    <row r="154" spans="1:25" s="98" customFormat="1" ht="11.25">
      <c r="A154" s="43"/>
      <c r="B154" s="43"/>
      <c r="C154" s="43">
        <v>841</v>
      </c>
      <c r="D154" s="1"/>
      <c r="E154" s="1"/>
      <c r="F154" s="114" t="s">
        <v>190</v>
      </c>
      <c r="G154" s="107">
        <f>SUM(G155:G156)</f>
        <v>31620000</v>
      </c>
      <c r="H154" s="107">
        <f>SUM(H155:H156)</f>
        <v>-22090000</v>
      </c>
      <c r="I154" s="107">
        <f>SUM(I155:I156)</f>
        <v>9530000</v>
      </c>
      <c r="J154" s="107">
        <f aca="true" t="shared" si="72" ref="J154:S154">SUM(J155:J156)</f>
        <v>0</v>
      </c>
      <c r="K154" s="107">
        <f t="shared" si="72"/>
        <v>0</v>
      </c>
      <c r="L154" s="107">
        <f t="shared" si="72"/>
        <v>0</v>
      </c>
      <c r="M154" s="107">
        <f t="shared" si="72"/>
        <v>0</v>
      </c>
      <c r="N154" s="107">
        <f t="shared" si="72"/>
        <v>0</v>
      </c>
      <c r="O154" s="107">
        <f t="shared" si="72"/>
        <v>0</v>
      </c>
      <c r="P154" s="107">
        <f t="shared" si="72"/>
        <v>0</v>
      </c>
      <c r="Q154" s="107">
        <f t="shared" si="72"/>
        <v>0</v>
      </c>
      <c r="R154" s="107">
        <f t="shared" si="72"/>
        <v>0</v>
      </c>
      <c r="S154" s="107">
        <f t="shared" si="72"/>
        <v>0</v>
      </c>
      <c r="T154" s="140">
        <f>SUM(T155:T156)</f>
        <v>9530000</v>
      </c>
      <c r="U154" s="107">
        <f>SUM(U155:U156)</f>
        <v>0</v>
      </c>
      <c r="V154" s="107">
        <f>SUM(V155:V156)</f>
        <v>0</v>
      </c>
      <c r="Y154" s="300"/>
    </row>
    <row r="155" spans="1:25" s="98" customFormat="1" ht="11.25">
      <c r="A155" s="103"/>
      <c r="B155" s="100"/>
      <c r="C155" s="100">
        <v>841</v>
      </c>
      <c r="D155" s="2" t="s">
        <v>77</v>
      </c>
      <c r="E155" s="2" t="s">
        <v>33</v>
      </c>
      <c r="F155" s="103" t="s">
        <v>190</v>
      </c>
      <c r="G155" s="5">
        <v>0</v>
      </c>
      <c r="H155" s="5">
        <v>0</v>
      </c>
      <c r="I155" s="5">
        <f>G155+H155</f>
        <v>0</v>
      </c>
      <c r="J155" s="5">
        <v>0</v>
      </c>
      <c r="K155" s="5">
        <v>0</v>
      </c>
      <c r="L155" s="5">
        <v>0</v>
      </c>
      <c r="M155" s="5">
        <v>0</v>
      </c>
      <c r="N155" s="5">
        <f t="shared" si="68"/>
        <v>0</v>
      </c>
      <c r="O155" s="5">
        <v>0</v>
      </c>
      <c r="P155" s="5">
        <v>0</v>
      </c>
      <c r="Q155" s="5"/>
      <c r="R155" s="5"/>
      <c r="S155" s="5">
        <f t="shared" si="69"/>
        <v>0</v>
      </c>
      <c r="T155" s="7">
        <v>0</v>
      </c>
      <c r="U155" s="5">
        <v>0</v>
      </c>
      <c r="V155" s="5">
        <v>0</v>
      </c>
      <c r="Y155" s="300"/>
    </row>
    <row r="156" spans="1:25" s="98" customFormat="1" ht="11.25">
      <c r="A156" s="103"/>
      <c r="B156" s="100"/>
      <c r="C156" s="100">
        <v>841</v>
      </c>
      <c r="D156" s="2" t="s">
        <v>77</v>
      </c>
      <c r="E156" s="2" t="s">
        <v>21</v>
      </c>
      <c r="F156" s="103" t="s">
        <v>190</v>
      </c>
      <c r="G156" s="5">
        <v>31620000</v>
      </c>
      <c r="H156" s="5">
        <v>-22090000</v>
      </c>
      <c r="I156" s="5">
        <f>G156+H156</f>
        <v>9530000</v>
      </c>
      <c r="J156" s="5">
        <v>0</v>
      </c>
      <c r="K156" s="5">
        <v>0</v>
      </c>
      <c r="L156" s="5">
        <v>0</v>
      </c>
      <c r="M156" s="5">
        <v>0</v>
      </c>
      <c r="N156" s="5">
        <f t="shared" si="68"/>
        <v>0</v>
      </c>
      <c r="O156" s="5">
        <v>0</v>
      </c>
      <c r="P156" s="5">
        <v>0</v>
      </c>
      <c r="Q156" s="5"/>
      <c r="R156" s="5"/>
      <c r="S156" s="5">
        <f t="shared" si="69"/>
        <v>0</v>
      </c>
      <c r="T156" s="7">
        <f>I156-S156</f>
        <v>9530000</v>
      </c>
      <c r="U156" s="5">
        <f>+S156</f>
        <v>0</v>
      </c>
      <c r="V156" s="5">
        <v>0</v>
      </c>
      <c r="Y156" s="300"/>
    </row>
    <row r="157" spans="1:25" s="83" customFormat="1" ht="11.25">
      <c r="A157" s="104"/>
      <c r="B157" s="101"/>
      <c r="C157" s="101"/>
      <c r="D157" s="17"/>
      <c r="E157" s="17"/>
      <c r="F157" s="104"/>
      <c r="G157" s="5"/>
      <c r="H157" s="5"/>
      <c r="I157" s="5"/>
      <c r="J157" s="5"/>
      <c r="K157" s="5"/>
      <c r="L157" s="5"/>
      <c r="M157" s="5"/>
      <c r="N157" s="5">
        <f t="shared" si="68"/>
        <v>0</v>
      </c>
      <c r="O157" s="5"/>
      <c r="P157" s="5"/>
      <c r="Q157" s="5"/>
      <c r="R157" s="5"/>
      <c r="S157" s="5">
        <f t="shared" si="69"/>
        <v>0</v>
      </c>
      <c r="T157" s="7"/>
      <c r="U157" s="5"/>
      <c r="V157" s="5"/>
      <c r="Y157" s="300"/>
    </row>
    <row r="158" spans="1:25" s="98" customFormat="1" ht="20.25">
      <c r="A158" s="43"/>
      <c r="B158" s="43"/>
      <c r="C158" s="43">
        <v>842</v>
      </c>
      <c r="D158" s="1"/>
      <c r="E158" s="1"/>
      <c r="F158" s="114" t="s">
        <v>238</v>
      </c>
      <c r="G158" s="107">
        <f aca="true" t="shared" si="73" ref="G158:U158">SUM(G159:G171)</f>
        <v>43500000</v>
      </c>
      <c r="H158" s="107">
        <f t="shared" si="73"/>
        <v>-41500000</v>
      </c>
      <c r="I158" s="107">
        <f t="shared" si="73"/>
        <v>2000000</v>
      </c>
      <c r="J158" s="107">
        <f t="shared" si="73"/>
        <v>0</v>
      </c>
      <c r="K158" s="107">
        <f t="shared" si="73"/>
        <v>0</v>
      </c>
      <c r="L158" s="107">
        <f t="shared" si="73"/>
        <v>0</v>
      </c>
      <c r="M158" s="107">
        <f t="shared" si="73"/>
        <v>0</v>
      </c>
      <c r="N158" s="107">
        <f t="shared" si="73"/>
        <v>0</v>
      </c>
      <c r="O158" s="107">
        <f t="shared" si="73"/>
        <v>0</v>
      </c>
      <c r="P158" s="107">
        <f t="shared" si="73"/>
        <v>1115233</v>
      </c>
      <c r="Q158" s="107">
        <f t="shared" si="73"/>
        <v>0</v>
      </c>
      <c r="R158" s="107">
        <f t="shared" si="73"/>
        <v>0</v>
      </c>
      <c r="S158" s="107">
        <f t="shared" si="73"/>
        <v>1115233</v>
      </c>
      <c r="T158" s="107">
        <f t="shared" si="73"/>
        <v>884767</v>
      </c>
      <c r="U158" s="107">
        <f t="shared" si="73"/>
        <v>1115233</v>
      </c>
      <c r="V158" s="107">
        <f>SUM(V159:V171)</f>
        <v>0</v>
      </c>
      <c r="Y158" s="300"/>
    </row>
    <row r="159" spans="1:25" s="98" customFormat="1" ht="11.25">
      <c r="A159" s="103"/>
      <c r="B159" s="100"/>
      <c r="C159" s="100">
        <v>842</v>
      </c>
      <c r="D159" s="2" t="s">
        <v>77</v>
      </c>
      <c r="E159" s="2" t="s">
        <v>33</v>
      </c>
      <c r="F159" s="103" t="s">
        <v>59</v>
      </c>
      <c r="G159" s="5">
        <v>0</v>
      </c>
      <c r="H159" s="5">
        <v>0</v>
      </c>
      <c r="I159" s="5">
        <f aca="true" t="shared" si="74" ref="I159:I171">G159+H159</f>
        <v>0</v>
      </c>
      <c r="J159" s="5">
        <v>0</v>
      </c>
      <c r="K159" s="5">
        <v>0</v>
      </c>
      <c r="L159" s="5">
        <v>0</v>
      </c>
      <c r="M159" s="5">
        <v>0</v>
      </c>
      <c r="N159" s="5">
        <f t="shared" si="68"/>
        <v>0</v>
      </c>
      <c r="O159" s="5">
        <v>0</v>
      </c>
      <c r="P159" s="5">
        <v>0</v>
      </c>
      <c r="Q159" s="5"/>
      <c r="R159" s="5"/>
      <c r="S159" s="5">
        <f t="shared" si="69"/>
        <v>0</v>
      </c>
      <c r="T159" s="7">
        <v>0</v>
      </c>
      <c r="U159" s="5">
        <v>0</v>
      </c>
      <c r="V159" s="5">
        <v>0</v>
      </c>
      <c r="Y159" s="300"/>
    </row>
    <row r="160" spans="1:25" s="98" customFormat="1" ht="11.25">
      <c r="A160" s="103"/>
      <c r="B160" s="100"/>
      <c r="C160" s="100">
        <v>842</v>
      </c>
      <c r="D160" s="2" t="s">
        <v>77</v>
      </c>
      <c r="E160" s="2" t="s">
        <v>21</v>
      </c>
      <c r="F160" s="103" t="s">
        <v>59</v>
      </c>
      <c r="G160" s="5">
        <v>0</v>
      </c>
      <c r="H160" s="5">
        <v>0</v>
      </c>
      <c r="I160" s="5">
        <f t="shared" si="74"/>
        <v>0</v>
      </c>
      <c r="J160" s="5">
        <v>0</v>
      </c>
      <c r="K160" s="5">
        <v>0</v>
      </c>
      <c r="L160" s="5">
        <v>0</v>
      </c>
      <c r="M160" s="5">
        <v>0</v>
      </c>
      <c r="N160" s="5">
        <f t="shared" si="68"/>
        <v>0</v>
      </c>
      <c r="O160" s="5">
        <v>0</v>
      </c>
      <c r="P160" s="5">
        <v>0</v>
      </c>
      <c r="Q160" s="5"/>
      <c r="R160" s="5"/>
      <c r="S160" s="5">
        <f t="shared" si="69"/>
        <v>0</v>
      </c>
      <c r="T160" s="7">
        <f aca="true" t="shared" si="75" ref="T160:T171">I160-S160</f>
        <v>0</v>
      </c>
      <c r="U160" s="5">
        <f>+I160-T160</f>
        <v>0</v>
      </c>
      <c r="V160" s="5">
        <v>0</v>
      </c>
      <c r="Y160" s="300"/>
    </row>
    <row r="161" spans="1:25" s="98" customFormat="1" ht="11.25">
      <c r="A161" s="103"/>
      <c r="B161" s="100"/>
      <c r="C161" s="100">
        <v>842</v>
      </c>
      <c r="D161" s="2" t="s">
        <v>77</v>
      </c>
      <c r="E161" s="2" t="s">
        <v>33</v>
      </c>
      <c r="F161" s="103" t="s">
        <v>499</v>
      </c>
      <c r="G161" s="5">
        <f>36000000+7500000</f>
        <v>43500000</v>
      </c>
      <c r="H161" s="5">
        <f>-31500000-10000000</f>
        <v>-41500000</v>
      </c>
      <c r="I161" s="5">
        <f t="shared" si="74"/>
        <v>2000000</v>
      </c>
      <c r="J161" s="5">
        <v>0</v>
      </c>
      <c r="K161" s="5">
        <v>0</v>
      </c>
      <c r="L161" s="5">
        <v>0</v>
      </c>
      <c r="M161" s="5">
        <v>0</v>
      </c>
      <c r="N161" s="5">
        <f t="shared" si="68"/>
        <v>0</v>
      </c>
      <c r="O161" s="98">
        <v>0</v>
      </c>
      <c r="P161" s="5">
        <v>1115233</v>
      </c>
      <c r="Q161" s="5"/>
      <c r="R161" s="5"/>
      <c r="S161" s="5">
        <f t="shared" si="69"/>
        <v>1115233</v>
      </c>
      <c r="T161" s="7">
        <f t="shared" si="75"/>
        <v>884767</v>
      </c>
      <c r="U161" s="5">
        <f aca="true" t="shared" si="76" ref="U161:U171">+I161-T161</f>
        <v>1115233</v>
      </c>
      <c r="V161" s="5">
        <v>0</v>
      </c>
      <c r="Y161" s="300"/>
    </row>
    <row r="162" spans="1:25" s="98" customFormat="1" ht="11.25" hidden="1">
      <c r="A162" s="103"/>
      <c r="B162" s="100"/>
      <c r="C162" s="100">
        <v>842</v>
      </c>
      <c r="D162" s="2" t="s">
        <v>77</v>
      </c>
      <c r="E162" s="2" t="s">
        <v>21</v>
      </c>
      <c r="F162" s="103" t="s">
        <v>60</v>
      </c>
      <c r="G162" s="5">
        <v>0</v>
      </c>
      <c r="H162" s="5">
        <v>0</v>
      </c>
      <c r="I162" s="5">
        <f t="shared" si="74"/>
        <v>0</v>
      </c>
      <c r="J162" s="5">
        <v>0</v>
      </c>
      <c r="K162" s="5">
        <v>0</v>
      </c>
      <c r="L162" s="5">
        <v>0</v>
      </c>
      <c r="M162" s="5">
        <v>0</v>
      </c>
      <c r="N162" s="5">
        <f t="shared" si="68"/>
        <v>0</v>
      </c>
      <c r="O162" s="5">
        <v>0</v>
      </c>
      <c r="P162" s="5">
        <v>0</v>
      </c>
      <c r="Q162" s="5"/>
      <c r="R162" s="5"/>
      <c r="S162" s="5">
        <f t="shared" si="69"/>
        <v>0</v>
      </c>
      <c r="T162" s="7">
        <f t="shared" si="75"/>
        <v>0</v>
      </c>
      <c r="U162" s="5">
        <f t="shared" si="76"/>
        <v>0</v>
      </c>
      <c r="V162" s="5">
        <v>0</v>
      </c>
      <c r="Y162" s="300"/>
    </row>
    <row r="163" spans="1:25" s="98" customFormat="1" ht="11.25" hidden="1">
      <c r="A163" s="103"/>
      <c r="B163" s="100"/>
      <c r="C163" s="100">
        <v>842</v>
      </c>
      <c r="D163" s="2" t="s">
        <v>77</v>
      </c>
      <c r="E163" s="2" t="s">
        <v>33</v>
      </c>
      <c r="F163" s="103" t="s">
        <v>314</v>
      </c>
      <c r="G163" s="5">
        <v>0</v>
      </c>
      <c r="H163" s="5">
        <v>0</v>
      </c>
      <c r="I163" s="5">
        <f t="shared" si="74"/>
        <v>0</v>
      </c>
      <c r="J163" s="5">
        <v>0</v>
      </c>
      <c r="K163" s="5">
        <v>0</v>
      </c>
      <c r="L163" s="5">
        <v>0</v>
      </c>
      <c r="M163" s="5">
        <v>0</v>
      </c>
      <c r="N163" s="5">
        <f t="shared" si="68"/>
        <v>0</v>
      </c>
      <c r="O163" s="5">
        <v>0</v>
      </c>
      <c r="P163" s="5">
        <v>0</v>
      </c>
      <c r="Q163" s="5"/>
      <c r="R163" s="5"/>
      <c r="S163" s="5">
        <f t="shared" si="69"/>
        <v>0</v>
      </c>
      <c r="T163" s="7">
        <f t="shared" si="75"/>
        <v>0</v>
      </c>
      <c r="U163" s="5">
        <f t="shared" si="76"/>
        <v>0</v>
      </c>
      <c r="V163" s="5">
        <v>0</v>
      </c>
      <c r="Y163" s="300"/>
    </row>
    <row r="164" spans="1:25" s="98" customFormat="1" ht="11.25" hidden="1">
      <c r="A164" s="103"/>
      <c r="B164" s="100"/>
      <c r="C164" s="100">
        <v>842</v>
      </c>
      <c r="D164" s="2" t="s">
        <v>77</v>
      </c>
      <c r="E164" s="2" t="s">
        <v>21</v>
      </c>
      <c r="F164" s="103" t="s">
        <v>315</v>
      </c>
      <c r="G164" s="5">
        <v>0</v>
      </c>
      <c r="H164" s="5">
        <v>0</v>
      </c>
      <c r="I164" s="5">
        <f t="shared" si="74"/>
        <v>0</v>
      </c>
      <c r="J164" s="5">
        <v>0</v>
      </c>
      <c r="K164" s="5">
        <v>0</v>
      </c>
      <c r="L164" s="5">
        <v>0</v>
      </c>
      <c r="M164" s="5">
        <v>0</v>
      </c>
      <c r="N164" s="5">
        <f t="shared" si="68"/>
        <v>0</v>
      </c>
      <c r="O164" s="5">
        <v>0</v>
      </c>
      <c r="P164" s="5">
        <v>0</v>
      </c>
      <c r="Q164" s="5"/>
      <c r="R164" s="5"/>
      <c r="S164" s="5">
        <f t="shared" si="69"/>
        <v>0</v>
      </c>
      <c r="T164" s="7">
        <f t="shared" si="75"/>
        <v>0</v>
      </c>
      <c r="U164" s="5">
        <f t="shared" si="76"/>
        <v>0</v>
      </c>
      <c r="V164" s="5">
        <v>0</v>
      </c>
      <c r="Y164" s="300"/>
    </row>
    <row r="165" spans="1:25" s="98" customFormat="1" ht="11.25" hidden="1">
      <c r="A165" s="103"/>
      <c r="B165" s="100"/>
      <c r="C165" s="100">
        <v>842</v>
      </c>
      <c r="D165" s="2" t="s">
        <v>77</v>
      </c>
      <c r="E165" s="2" t="s">
        <v>21</v>
      </c>
      <c r="F165" s="103" t="s">
        <v>316</v>
      </c>
      <c r="G165" s="5">
        <v>0</v>
      </c>
      <c r="H165" s="5">
        <v>0</v>
      </c>
      <c r="I165" s="5">
        <f t="shared" si="74"/>
        <v>0</v>
      </c>
      <c r="J165" s="5">
        <v>0</v>
      </c>
      <c r="K165" s="5">
        <v>0</v>
      </c>
      <c r="L165" s="5">
        <v>0</v>
      </c>
      <c r="M165" s="5">
        <v>0</v>
      </c>
      <c r="N165" s="5">
        <f t="shared" si="68"/>
        <v>0</v>
      </c>
      <c r="O165" s="5">
        <v>0</v>
      </c>
      <c r="P165" s="5">
        <v>0</v>
      </c>
      <c r="Q165" s="5"/>
      <c r="R165" s="5"/>
      <c r="S165" s="5">
        <f t="shared" si="69"/>
        <v>0</v>
      </c>
      <c r="T165" s="7">
        <f t="shared" si="75"/>
        <v>0</v>
      </c>
      <c r="U165" s="5">
        <f t="shared" si="76"/>
        <v>0</v>
      </c>
      <c r="V165" s="5">
        <v>0</v>
      </c>
      <c r="Y165" s="300"/>
    </row>
    <row r="166" spans="1:25" s="98" customFormat="1" ht="11.25" hidden="1">
      <c r="A166" s="103"/>
      <c r="B166" s="100"/>
      <c r="C166" s="100">
        <v>842</v>
      </c>
      <c r="D166" s="2" t="s">
        <v>77</v>
      </c>
      <c r="E166" s="2" t="s">
        <v>21</v>
      </c>
      <c r="F166" s="103" t="s">
        <v>260</v>
      </c>
      <c r="G166" s="5">
        <v>0</v>
      </c>
      <c r="H166" s="5">
        <v>0</v>
      </c>
      <c r="I166" s="5">
        <f t="shared" si="74"/>
        <v>0</v>
      </c>
      <c r="J166" s="5">
        <v>0</v>
      </c>
      <c r="K166" s="5">
        <v>0</v>
      </c>
      <c r="L166" s="5">
        <v>0</v>
      </c>
      <c r="M166" s="5">
        <v>0</v>
      </c>
      <c r="N166" s="5">
        <f t="shared" si="68"/>
        <v>0</v>
      </c>
      <c r="O166" s="5">
        <v>0</v>
      </c>
      <c r="P166" s="5">
        <v>0</v>
      </c>
      <c r="Q166" s="5"/>
      <c r="R166" s="5"/>
      <c r="S166" s="5">
        <f t="shared" si="69"/>
        <v>0</v>
      </c>
      <c r="T166" s="7">
        <f t="shared" si="75"/>
        <v>0</v>
      </c>
      <c r="U166" s="5">
        <f t="shared" si="76"/>
        <v>0</v>
      </c>
      <c r="V166" s="5">
        <v>0</v>
      </c>
      <c r="Y166" s="300"/>
    </row>
    <row r="167" spans="1:25" s="98" customFormat="1" ht="11.25" hidden="1">
      <c r="A167" s="103"/>
      <c r="B167" s="100"/>
      <c r="C167" s="100">
        <v>842</v>
      </c>
      <c r="D167" s="2" t="s">
        <v>77</v>
      </c>
      <c r="E167" s="2" t="s">
        <v>21</v>
      </c>
      <c r="F167" s="103" t="s">
        <v>313</v>
      </c>
      <c r="G167" s="5">
        <v>0</v>
      </c>
      <c r="H167" s="5">
        <v>0</v>
      </c>
      <c r="I167" s="5">
        <f t="shared" si="74"/>
        <v>0</v>
      </c>
      <c r="J167" s="5">
        <v>0</v>
      </c>
      <c r="K167" s="5">
        <v>0</v>
      </c>
      <c r="L167" s="5">
        <v>0</v>
      </c>
      <c r="M167" s="5">
        <v>0</v>
      </c>
      <c r="N167" s="5">
        <f t="shared" si="68"/>
        <v>0</v>
      </c>
      <c r="O167" s="5">
        <v>0</v>
      </c>
      <c r="P167" s="5">
        <v>0</v>
      </c>
      <c r="Q167" s="5"/>
      <c r="R167" s="5"/>
      <c r="S167" s="5">
        <f t="shared" si="69"/>
        <v>0</v>
      </c>
      <c r="T167" s="7">
        <f t="shared" si="75"/>
        <v>0</v>
      </c>
      <c r="U167" s="5">
        <f t="shared" si="76"/>
        <v>0</v>
      </c>
      <c r="V167" s="5">
        <v>0</v>
      </c>
      <c r="Y167" s="300"/>
    </row>
    <row r="168" spans="1:25" s="98" customFormat="1" ht="11.25" hidden="1">
      <c r="A168" s="103"/>
      <c r="B168" s="100"/>
      <c r="C168" s="100">
        <v>842</v>
      </c>
      <c r="D168" s="2" t="s">
        <v>77</v>
      </c>
      <c r="E168" s="2" t="s">
        <v>21</v>
      </c>
      <c r="F168" s="103" t="s">
        <v>157</v>
      </c>
      <c r="G168" s="5">
        <v>0</v>
      </c>
      <c r="H168" s="5">
        <v>0</v>
      </c>
      <c r="I168" s="5">
        <f t="shared" si="74"/>
        <v>0</v>
      </c>
      <c r="J168" s="5">
        <v>0</v>
      </c>
      <c r="K168" s="5">
        <v>0</v>
      </c>
      <c r="L168" s="5">
        <v>0</v>
      </c>
      <c r="M168" s="5">
        <v>0</v>
      </c>
      <c r="N168" s="5">
        <f t="shared" si="68"/>
        <v>0</v>
      </c>
      <c r="O168" s="5">
        <v>0</v>
      </c>
      <c r="P168" s="5">
        <v>0</v>
      </c>
      <c r="Q168" s="5"/>
      <c r="R168" s="5"/>
      <c r="S168" s="5">
        <f t="shared" si="69"/>
        <v>0</v>
      </c>
      <c r="T168" s="7">
        <f t="shared" si="75"/>
        <v>0</v>
      </c>
      <c r="U168" s="5">
        <f t="shared" si="76"/>
        <v>0</v>
      </c>
      <c r="V168" s="5">
        <v>0</v>
      </c>
      <c r="Y168" s="300"/>
    </row>
    <row r="169" spans="1:25" s="98" customFormat="1" ht="11.25" hidden="1">
      <c r="A169" s="103"/>
      <c r="B169" s="100"/>
      <c r="C169" s="100">
        <v>842</v>
      </c>
      <c r="D169" s="2" t="s">
        <v>77</v>
      </c>
      <c r="E169" s="2" t="s">
        <v>21</v>
      </c>
      <c r="F169" s="103" t="s">
        <v>492</v>
      </c>
      <c r="G169" s="5">
        <v>0</v>
      </c>
      <c r="H169" s="5">
        <v>0</v>
      </c>
      <c r="I169" s="5">
        <f t="shared" si="74"/>
        <v>0</v>
      </c>
      <c r="J169" s="5">
        <v>0</v>
      </c>
      <c r="K169" s="5">
        <v>0</v>
      </c>
      <c r="L169" s="5">
        <v>0</v>
      </c>
      <c r="M169" s="5">
        <v>0</v>
      </c>
      <c r="N169" s="5">
        <f t="shared" si="68"/>
        <v>0</v>
      </c>
      <c r="O169" s="5">
        <v>0</v>
      </c>
      <c r="P169" s="5">
        <v>0</v>
      </c>
      <c r="Q169" s="5"/>
      <c r="R169" s="5"/>
      <c r="S169" s="5">
        <f t="shared" si="69"/>
        <v>0</v>
      </c>
      <c r="T169" s="7">
        <f t="shared" si="75"/>
        <v>0</v>
      </c>
      <c r="U169" s="5">
        <f t="shared" si="76"/>
        <v>0</v>
      </c>
      <c r="V169" s="5">
        <v>0</v>
      </c>
      <c r="Y169" s="300"/>
    </row>
    <row r="170" spans="1:25" s="98" customFormat="1" ht="11.25" hidden="1">
      <c r="A170" s="103"/>
      <c r="B170" s="100"/>
      <c r="C170" s="100">
        <v>842</v>
      </c>
      <c r="D170" s="2" t="s">
        <v>77</v>
      </c>
      <c r="E170" s="2" t="s">
        <v>202</v>
      </c>
      <c r="F170" s="103" t="s">
        <v>50</v>
      </c>
      <c r="G170" s="5">
        <v>0</v>
      </c>
      <c r="H170" s="5">
        <v>0</v>
      </c>
      <c r="I170" s="5">
        <f t="shared" si="74"/>
        <v>0</v>
      </c>
      <c r="J170" s="5">
        <v>0</v>
      </c>
      <c r="K170" s="5">
        <v>0</v>
      </c>
      <c r="L170" s="5">
        <v>0</v>
      </c>
      <c r="M170" s="5">
        <v>0</v>
      </c>
      <c r="N170" s="5">
        <f t="shared" si="68"/>
        <v>0</v>
      </c>
      <c r="O170" s="5">
        <v>0</v>
      </c>
      <c r="P170" s="5">
        <v>0</v>
      </c>
      <c r="Q170" s="5"/>
      <c r="R170" s="5"/>
      <c r="S170" s="5">
        <f t="shared" si="69"/>
        <v>0</v>
      </c>
      <c r="T170" s="7">
        <f t="shared" si="75"/>
        <v>0</v>
      </c>
      <c r="U170" s="5">
        <f t="shared" si="76"/>
        <v>0</v>
      </c>
      <c r="V170" s="5">
        <v>0</v>
      </c>
      <c r="Y170" s="300"/>
    </row>
    <row r="171" spans="1:25" s="98" customFormat="1" ht="11.25" hidden="1">
      <c r="A171" s="103"/>
      <c r="B171" s="100"/>
      <c r="C171" s="100">
        <v>842</v>
      </c>
      <c r="D171" s="2" t="s">
        <v>77</v>
      </c>
      <c r="E171" s="2" t="s">
        <v>202</v>
      </c>
      <c r="F171" s="103" t="s">
        <v>50</v>
      </c>
      <c r="G171" s="5">
        <v>0</v>
      </c>
      <c r="H171" s="5">
        <v>0</v>
      </c>
      <c r="I171" s="5">
        <f t="shared" si="74"/>
        <v>0</v>
      </c>
      <c r="J171" s="5">
        <v>0</v>
      </c>
      <c r="K171" s="5">
        <v>0</v>
      </c>
      <c r="L171" s="5">
        <v>0</v>
      </c>
      <c r="M171" s="5">
        <v>0</v>
      </c>
      <c r="N171" s="5">
        <f t="shared" si="68"/>
        <v>0</v>
      </c>
      <c r="O171" s="5">
        <v>0</v>
      </c>
      <c r="P171" s="5">
        <v>0</v>
      </c>
      <c r="Q171" s="5"/>
      <c r="R171" s="5"/>
      <c r="S171" s="5">
        <f t="shared" si="69"/>
        <v>0</v>
      </c>
      <c r="T171" s="7">
        <f t="shared" si="75"/>
        <v>0</v>
      </c>
      <c r="U171" s="5">
        <f t="shared" si="76"/>
        <v>0</v>
      </c>
      <c r="V171" s="5">
        <v>0</v>
      </c>
      <c r="Y171" s="300"/>
    </row>
    <row r="172" spans="1:25" s="83" customFormat="1" ht="11.25">
      <c r="A172" s="104"/>
      <c r="B172" s="101"/>
      <c r="C172" s="101"/>
      <c r="D172" s="17"/>
      <c r="E172" s="17"/>
      <c r="F172" s="104"/>
      <c r="G172" s="5"/>
      <c r="H172" s="5"/>
      <c r="I172" s="5"/>
      <c r="J172" s="5"/>
      <c r="K172" s="5"/>
      <c r="L172" s="5"/>
      <c r="M172" s="5"/>
      <c r="N172" s="5">
        <f t="shared" si="68"/>
        <v>0</v>
      </c>
      <c r="O172" s="5"/>
      <c r="P172" s="5"/>
      <c r="Q172" s="5"/>
      <c r="R172" s="5"/>
      <c r="S172" s="5">
        <f t="shared" si="69"/>
        <v>0</v>
      </c>
      <c r="T172" s="7"/>
      <c r="U172" s="5"/>
      <c r="V172" s="5"/>
      <c r="Y172" s="300"/>
    </row>
    <row r="173" spans="1:25" s="98" customFormat="1" ht="30">
      <c r="A173" s="43"/>
      <c r="B173" s="43"/>
      <c r="C173" s="43">
        <v>846</v>
      </c>
      <c r="D173" s="1"/>
      <c r="E173" s="1"/>
      <c r="F173" s="114" t="s">
        <v>216</v>
      </c>
      <c r="G173" s="107">
        <f aca="true" t="shared" si="77" ref="G173:S173">SUM(G174:G176)</f>
        <v>31240000</v>
      </c>
      <c r="H173" s="107">
        <f t="shared" si="77"/>
        <v>-28145018</v>
      </c>
      <c r="I173" s="107">
        <f t="shared" si="77"/>
        <v>3094982</v>
      </c>
      <c r="J173" s="107">
        <f t="shared" si="77"/>
        <v>0</v>
      </c>
      <c r="K173" s="107">
        <f t="shared" si="77"/>
        <v>0</v>
      </c>
      <c r="L173" s="107">
        <f t="shared" si="77"/>
        <v>0</v>
      </c>
      <c r="M173" s="107">
        <f t="shared" si="77"/>
        <v>0</v>
      </c>
      <c r="N173" s="107">
        <f t="shared" si="77"/>
        <v>0</v>
      </c>
      <c r="O173" s="107">
        <f t="shared" si="77"/>
        <v>0</v>
      </c>
      <c r="P173" s="107">
        <f t="shared" si="77"/>
        <v>0</v>
      </c>
      <c r="Q173" s="107">
        <f t="shared" si="77"/>
        <v>0</v>
      </c>
      <c r="R173" s="107">
        <f t="shared" si="77"/>
        <v>0</v>
      </c>
      <c r="S173" s="107">
        <f t="shared" si="77"/>
        <v>0</v>
      </c>
      <c r="T173" s="140">
        <f>SUM(T174:T176)</f>
        <v>3094982</v>
      </c>
      <c r="U173" s="107">
        <f>SUM(U174:U176)</f>
        <v>0</v>
      </c>
      <c r="V173" s="107">
        <f>SUM(V174:V176)</f>
        <v>0</v>
      </c>
      <c r="Y173" s="300"/>
    </row>
    <row r="174" spans="1:25" s="98" customFormat="1" ht="11.25" hidden="1">
      <c r="A174" s="103"/>
      <c r="B174" s="100"/>
      <c r="C174" s="100">
        <v>846</v>
      </c>
      <c r="D174" s="2" t="s">
        <v>77</v>
      </c>
      <c r="E174" s="2" t="s">
        <v>58</v>
      </c>
      <c r="F174" s="103" t="s">
        <v>216</v>
      </c>
      <c r="G174" s="5">
        <v>0</v>
      </c>
      <c r="H174" s="5">
        <v>0</v>
      </c>
      <c r="I174" s="5">
        <f>G174+H174</f>
        <v>0</v>
      </c>
      <c r="J174" s="5">
        <v>0</v>
      </c>
      <c r="K174" s="5">
        <v>0</v>
      </c>
      <c r="L174" s="5">
        <v>0</v>
      </c>
      <c r="M174" s="5">
        <v>0</v>
      </c>
      <c r="N174" s="5">
        <f t="shared" si="68"/>
        <v>0</v>
      </c>
      <c r="O174" s="5">
        <v>0</v>
      </c>
      <c r="P174" s="5">
        <v>0</v>
      </c>
      <c r="Q174" s="5"/>
      <c r="R174" s="5"/>
      <c r="S174" s="5">
        <f t="shared" si="69"/>
        <v>0</v>
      </c>
      <c r="T174" s="7">
        <v>0</v>
      </c>
      <c r="U174" s="5">
        <v>0</v>
      </c>
      <c r="V174" s="5">
        <v>0</v>
      </c>
      <c r="Y174" s="300"/>
    </row>
    <row r="175" spans="1:25" s="98" customFormat="1" ht="11.25" hidden="1">
      <c r="A175" s="103"/>
      <c r="B175" s="100"/>
      <c r="C175" s="100">
        <v>846</v>
      </c>
      <c r="D175" s="2" t="s">
        <v>77</v>
      </c>
      <c r="E175" s="2" t="s">
        <v>33</v>
      </c>
      <c r="F175" s="103" t="s">
        <v>216</v>
      </c>
      <c r="G175" s="5">
        <v>0</v>
      </c>
      <c r="H175" s="5">
        <v>0</v>
      </c>
      <c r="I175" s="5">
        <f>G175+H175</f>
        <v>0</v>
      </c>
      <c r="J175" s="5">
        <v>0</v>
      </c>
      <c r="K175" s="5">
        <v>0</v>
      </c>
      <c r="L175" s="5">
        <v>0</v>
      </c>
      <c r="M175" s="5">
        <v>0</v>
      </c>
      <c r="N175" s="5">
        <f t="shared" si="68"/>
        <v>0</v>
      </c>
      <c r="O175" s="5">
        <v>0</v>
      </c>
      <c r="P175" s="5">
        <v>0</v>
      </c>
      <c r="Q175" s="5"/>
      <c r="R175" s="5"/>
      <c r="S175" s="5">
        <f t="shared" si="69"/>
        <v>0</v>
      </c>
      <c r="T175" s="7">
        <v>0</v>
      </c>
      <c r="U175" s="5">
        <v>0</v>
      </c>
      <c r="V175" s="5">
        <v>0</v>
      </c>
      <c r="Y175" s="300"/>
    </row>
    <row r="176" spans="1:25" s="98" customFormat="1" ht="11.25">
      <c r="A176" s="103"/>
      <c r="B176" s="100"/>
      <c r="C176" s="100">
        <v>846</v>
      </c>
      <c r="D176" s="2" t="s">
        <v>77</v>
      </c>
      <c r="E176" s="2" t="s">
        <v>21</v>
      </c>
      <c r="F176" s="103" t="s">
        <v>216</v>
      </c>
      <c r="G176" s="5">
        <v>31240000</v>
      </c>
      <c r="H176" s="5">
        <f>-18145018-10000000</f>
        <v>-28145018</v>
      </c>
      <c r="I176" s="5">
        <f>G176+H176</f>
        <v>3094982</v>
      </c>
      <c r="J176" s="5">
        <v>0</v>
      </c>
      <c r="K176" s="5">
        <v>0</v>
      </c>
      <c r="L176" s="5">
        <v>0</v>
      </c>
      <c r="M176" s="5">
        <v>0</v>
      </c>
      <c r="N176" s="5">
        <f t="shared" si="68"/>
        <v>0</v>
      </c>
      <c r="O176" s="5">
        <v>0</v>
      </c>
      <c r="P176" s="5">
        <v>0</v>
      </c>
      <c r="Q176" s="5"/>
      <c r="R176" s="5"/>
      <c r="S176" s="5">
        <f t="shared" si="69"/>
        <v>0</v>
      </c>
      <c r="T176" s="7">
        <f>I176-S176</f>
        <v>3094982</v>
      </c>
      <c r="U176" s="5">
        <v>0</v>
      </c>
      <c r="V176" s="5">
        <v>0</v>
      </c>
      <c r="Y176" s="300"/>
    </row>
    <row r="177" spans="1:25" s="83" customFormat="1" ht="11.25">
      <c r="A177" s="104"/>
      <c r="B177" s="101"/>
      <c r="C177" s="101"/>
      <c r="D177" s="17"/>
      <c r="E177" s="17"/>
      <c r="F177" s="104"/>
      <c r="G177" s="5"/>
      <c r="H177" s="5"/>
      <c r="I177" s="5"/>
      <c r="J177" s="5"/>
      <c r="K177" s="5"/>
      <c r="L177" s="5"/>
      <c r="M177" s="5"/>
      <c r="N177" s="5">
        <f t="shared" si="68"/>
        <v>0</v>
      </c>
      <c r="O177" s="5"/>
      <c r="P177" s="5"/>
      <c r="Q177" s="5"/>
      <c r="R177" s="5"/>
      <c r="S177" s="5">
        <f t="shared" si="69"/>
        <v>0</v>
      </c>
      <c r="T177" s="7"/>
      <c r="U177" s="5"/>
      <c r="V177" s="5"/>
      <c r="Y177" s="300"/>
    </row>
    <row r="178" spans="1:25" s="83" customFormat="1" ht="20.25">
      <c r="A178" s="43"/>
      <c r="B178" s="43"/>
      <c r="C178" s="43">
        <v>848</v>
      </c>
      <c r="D178" s="1"/>
      <c r="E178" s="1"/>
      <c r="F178" s="114" t="s">
        <v>481</v>
      </c>
      <c r="G178" s="107">
        <f>G179</f>
        <v>197075460</v>
      </c>
      <c r="H178" s="107">
        <f>H179</f>
        <v>209467966</v>
      </c>
      <c r="I178" s="107">
        <f>I179</f>
        <v>406543426</v>
      </c>
      <c r="J178" s="107">
        <f aca="true" t="shared" si="78" ref="J178:T178">J179</f>
        <v>0</v>
      </c>
      <c r="K178" s="107">
        <f t="shared" si="78"/>
        <v>0</v>
      </c>
      <c r="L178" s="107">
        <f t="shared" si="78"/>
        <v>0</v>
      </c>
      <c r="M178" s="107">
        <f t="shared" si="78"/>
        <v>0</v>
      </c>
      <c r="N178" s="107">
        <f t="shared" si="78"/>
        <v>0</v>
      </c>
      <c r="O178" s="107">
        <f t="shared" si="78"/>
        <v>0</v>
      </c>
      <c r="P178" s="107">
        <f t="shared" si="78"/>
        <v>0</v>
      </c>
      <c r="Q178" s="107">
        <f t="shared" si="78"/>
        <v>0</v>
      </c>
      <c r="R178" s="107">
        <f t="shared" si="78"/>
        <v>0</v>
      </c>
      <c r="S178" s="107">
        <f t="shared" si="78"/>
        <v>0</v>
      </c>
      <c r="T178" s="107">
        <f t="shared" si="78"/>
        <v>406543426</v>
      </c>
      <c r="U178" s="107">
        <f>U179</f>
        <v>0</v>
      </c>
      <c r="V178" s="107">
        <f>V179</f>
        <v>0</v>
      </c>
      <c r="Y178" s="300"/>
    </row>
    <row r="179" spans="1:25" s="83" customFormat="1" ht="11.25">
      <c r="A179" s="103"/>
      <c r="B179" s="100"/>
      <c r="C179" s="100">
        <v>848</v>
      </c>
      <c r="D179" s="2" t="s">
        <v>77</v>
      </c>
      <c r="E179" s="2" t="s">
        <v>55</v>
      </c>
      <c r="F179" s="103" t="s">
        <v>481</v>
      </c>
      <c r="G179" s="5">
        <v>197075460</v>
      </c>
      <c r="H179" s="5">
        <f>25771406+183696560</f>
        <v>209467966</v>
      </c>
      <c r="I179" s="5">
        <f>G179+H179</f>
        <v>406543426</v>
      </c>
      <c r="J179" s="5">
        <v>0</v>
      </c>
      <c r="K179" s="5">
        <v>0</v>
      </c>
      <c r="L179" s="5">
        <v>0</v>
      </c>
      <c r="M179" s="5">
        <v>0</v>
      </c>
      <c r="N179" s="5">
        <f t="shared" si="68"/>
        <v>0</v>
      </c>
      <c r="O179" s="5">
        <v>0</v>
      </c>
      <c r="P179" s="5">
        <v>0</v>
      </c>
      <c r="Q179" s="5"/>
      <c r="R179" s="5"/>
      <c r="S179" s="5">
        <f t="shared" si="69"/>
        <v>0</v>
      </c>
      <c r="T179" s="7">
        <f>I179-S179</f>
        <v>406543426</v>
      </c>
      <c r="U179" s="5">
        <f>+S179</f>
        <v>0</v>
      </c>
      <c r="V179" s="5">
        <v>0</v>
      </c>
      <c r="Y179" s="300"/>
    </row>
    <row r="180" spans="1:25" s="306" customFormat="1" ht="12">
      <c r="A180" s="307"/>
      <c r="B180" s="308"/>
      <c r="C180" s="50">
        <v>849</v>
      </c>
      <c r="D180" s="31"/>
      <c r="E180" s="31"/>
      <c r="F180" s="45" t="s">
        <v>507</v>
      </c>
      <c r="G180" s="42">
        <f aca="true" t="shared" si="79" ref="G180:M180">G181</f>
        <v>12000000</v>
      </c>
      <c r="H180" s="42">
        <f t="shared" si="79"/>
        <v>-2000000</v>
      </c>
      <c r="I180" s="42">
        <f t="shared" si="79"/>
        <v>10000000</v>
      </c>
      <c r="J180" s="42">
        <f t="shared" si="79"/>
        <v>0</v>
      </c>
      <c r="K180" s="42">
        <f t="shared" si="79"/>
        <v>0</v>
      </c>
      <c r="L180" s="42">
        <f t="shared" si="79"/>
        <v>0</v>
      </c>
      <c r="M180" s="42">
        <f t="shared" si="79"/>
        <v>0</v>
      </c>
      <c r="N180" s="42">
        <f t="shared" si="68"/>
        <v>0</v>
      </c>
      <c r="O180" s="42">
        <f>O181</f>
        <v>0</v>
      </c>
      <c r="P180" s="42">
        <f>P181</f>
        <v>0</v>
      </c>
      <c r="Q180" s="42">
        <f>Q181</f>
        <v>1120000</v>
      </c>
      <c r="R180" s="42">
        <f>R181</f>
        <v>0</v>
      </c>
      <c r="S180" s="42">
        <f t="shared" si="69"/>
        <v>1120000</v>
      </c>
      <c r="T180" s="53"/>
      <c r="U180" s="42"/>
      <c r="V180" s="42"/>
      <c r="Y180" s="300"/>
    </row>
    <row r="181" spans="1:25" s="306" customFormat="1" ht="11.25">
      <c r="A181" s="307"/>
      <c r="B181" s="308"/>
      <c r="C181" s="308">
        <v>849</v>
      </c>
      <c r="D181" s="32" t="s">
        <v>77</v>
      </c>
      <c r="E181" s="32" t="s">
        <v>21</v>
      </c>
      <c r="F181" s="307" t="s">
        <v>506</v>
      </c>
      <c r="G181" s="309">
        <v>12000000</v>
      </c>
      <c r="H181" s="309">
        <v>-2000000</v>
      </c>
      <c r="I181" s="309">
        <f>G181+H181</f>
        <v>10000000</v>
      </c>
      <c r="J181" s="309">
        <v>0</v>
      </c>
      <c r="K181" s="309">
        <v>0</v>
      </c>
      <c r="L181" s="309">
        <v>0</v>
      </c>
      <c r="M181" s="309">
        <v>0</v>
      </c>
      <c r="N181" s="309">
        <f t="shared" si="68"/>
        <v>0</v>
      </c>
      <c r="O181" s="309">
        <v>0</v>
      </c>
      <c r="P181" s="309">
        <v>0</v>
      </c>
      <c r="Q181" s="309">
        <f>+GENUINO!R188</f>
        <v>1120000</v>
      </c>
      <c r="R181" s="309"/>
      <c r="S181" s="309">
        <f t="shared" si="69"/>
        <v>1120000</v>
      </c>
      <c r="T181" s="310">
        <f>I181-S181</f>
        <v>8880000</v>
      </c>
      <c r="U181" s="309">
        <f>+S181</f>
        <v>1120000</v>
      </c>
      <c r="V181" s="309">
        <v>0</v>
      </c>
      <c r="Y181" s="300"/>
    </row>
    <row r="182" spans="1:25" s="98" customFormat="1" ht="11.25">
      <c r="A182" s="43">
        <v>900</v>
      </c>
      <c r="B182" s="43"/>
      <c r="C182" s="43"/>
      <c r="D182" s="1"/>
      <c r="E182" s="1"/>
      <c r="F182" s="102" t="s">
        <v>66</v>
      </c>
      <c r="G182" s="3">
        <f aca="true" t="shared" si="80" ref="G182:U182">G183+G187+G190+G194</f>
        <v>5000000</v>
      </c>
      <c r="H182" s="3">
        <f t="shared" si="80"/>
        <v>18145018</v>
      </c>
      <c r="I182" s="3">
        <f t="shared" si="80"/>
        <v>23145018</v>
      </c>
      <c r="J182" s="3">
        <f t="shared" si="80"/>
        <v>0</v>
      </c>
      <c r="K182" s="3">
        <f t="shared" si="80"/>
        <v>18145018</v>
      </c>
      <c r="L182" s="3">
        <f t="shared" si="80"/>
        <v>0</v>
      </c>
      <c r="M182" s="3">
        <f t="shared" si="80"/>
        <v>0</v>
      </c>
      <c r="N182" s="3">
        <f t="shared" si="80"/>
        <v>18145018</v>
      </c>
      <c r="O182" s="3">
        <f t="shared" si="80"/>
        <v>0</v>
      </c>
      <c r="P182" s="3">
        <f t="shared" si="80"/>
        <v>0</v>
      </c>
      <c r="Q182" s="3">
        <f t="shared" si="80"/>
        <v>0</v>
      </c>
      <c r="R182" s="3">
        <f t="shared" si="80"/>
        <v>0</v>
      </c>
      <c r="S182" s="3">
        <f t="shared" si="80"/>
        <v>18145018</v>
      </c>
      <c r="T182" s="3">
        <f t="shared" si="80"/>
        <v>5000000</v>
      </c>
      <c r="U182" s="3">
        <f t="shared" si="80"/>
        <v>18145018</v>
      </c>
      <c r="V182" s="3">
        <f>V183+V187+V190+V194</f>
        <v>0</v>
      </c>
      <c r="Y182" s="300"/>
    </row>
    <row r="183" spans="1:25" s="98" customFormat="1" ht="11.25">
      <c r="A183" s="102"/>
      <c r="B183" s="43">
        <v>910</v>
      </c>
      <c r="C183" s="43"/>
      <c r="D183" s="1"/>
      <c r="E183" s="1"/>
      <c r="F183" s="102" t="s">
        <v>67</v>
      </c>
      <c r="G183" s="3">
        <f aca="true" t="shared" si="81" ref="G183:M183">SUM(G184:G186)</f>
        <v>5000000</v>
      </c>
      <c r="H183" s="3">
        <f t="shared" si="81"/>
        <v>0</v>
      </c>
      <c r="I183" s="3">
        <f t="shared" si="81"/>
        <v>5000000</v>
      </c>
      <c r="J183" s="3">
        <f t="shared" si="81"/>
        <v>0</v>
      </c>
      <c r="K183" s="3">
        <f t="shared" si="81"/>
        <v>0</v>
      </c>
      <c r="L183" s="3">
        <f t="shared" si="81"/>
        <v>0</v>
      </c>
      <c r="M183" s="3">
        <f t="shared" si="81"/>
        <v>0</v>
      </c>
      <c r="N183" s="3">
        <f t="shared" si="68"/>
        <v>0</v>
      </c>
      <c r="O183" s="3">
        <f aca="true" t="shared" si="82" ref="O183:V183">SUM(O184:O186)</f>
        <v>0</v>
      </c>
      <c r="P183" s="3">
        <f t="shared" si="82"/>
        <v>0</v>
      </c>
      <c r="Q183" s="3">
        <f t="shared" si="82"/>
        <v>0</v>
      </c>
      <c r="R183" s="3">
        <f t="shared" si="82"/>
        <v>0</v>
      </c>
      <c r="S183" s="3">
        <f t="shared" si="69"/>
        <v>0</v>
      </c>
      <c r="T183" s="6">
        <f t="shared" si="82"/>
        <v>5000000</v>
      </c>
      <c r="U183" s="3">
        <f t="shared" si="82"/>
        <v>0</v>
      </c>
      <c r="V183" s="3">
        <f t="shared" si="82"/>
        <v>0</v>
      </c>
      <c r="Y183" s="300"/>
    </row>
    <row r="184" spans="1:25" s="98" customFormat="1" ht="11.25">
      <c r="A184" s="103"/>
      <c r="B184" s="100"/>
      <c r="C184" s="100">
        <v>910</v>
      </c>
      <c r="D184" s="2" t="s">
        <v>77</v>
      </c>
      <c r="E184" s="2" t="s">
        <v>32</v>
      </c>
      <c r="F184" s="103" t="s">
        <v>174</v>
      </c>
      <c r="G184" s="5">
        <v>0</v>
      </c>
      <c r="H184" s="5">
        <v>0</v>
      </c>
      <c r="I184" s="5">
        <f>G184+H184</f>
        <v>0</v>
      </c>
      <c r="J184" s="5">
        <v>0</v>
      </c>
      <c r="K184" s="5">
        <v>0</v>
      </c>
      <c r="L184" s="5">
        <v>0</v>
      </c>
      <c r="M184" s="5">
        <v>0</v>
      </c>
      <c r="N184" s="5">
        <f t="shared" si="68"/>
        <v>0</v>
      </c>
      <c r="O184" s="5">
        <v>0</v>
      </c>
      <c r="P184" s="5">
        <v>0</v>
      </c>
      <c r="Q184" s="5"/>
      <c r="R184" s="5"/>
      <c r="S184" s="5">
        <f t="shared" si="69"/>
        <v>0</v>
      </c>
      <c r="T184" s="7">
        <v>0</v>
      </c>
      <c r="U184" s="5">
        <v>0</v>
      </c>
      <c r="V184" s="5">
        <v>0</v>
      </c>
      <c r="Y184" s="300"/>
    </row>
    <row r="185" spans="1:25" s="98" customFormat="1" ht="11.25">
      <c r="A185" s="103"/>
      <c r="B185" s="100"/>
      <c r="C185" s="100">
        <v>910</v>
      </c>
      <c r="D185" s="2" t="s">
        <v>77</v>
      </c>
      <c r="E185" s="2" t="s">
        <v>21</v>
      </c>
      <c r="F185" s="103" t="s">
        <v>174</v>
      </c>
      <c r="G185" s="5">
        <v>5000000</v>
      </c>
      <c r="H185" s="5">
        <v>0</v>
      </c>
      <c r="I185" s="5">
        <f>G185+H185</f>
        <v>5000000</v>
      </c>
      <c r="J185" s="5">
        <v>0</v>
      </c>
      <c r="K185" s="5">
        <v>0</v>
      </c>
      <c r="L185" s="5">
        <v>0</v>
      </c>
      <c r="M185" s="5">
        <v>0</v>
      </c>
      <c r="N185" s="5">
        <f t="shared" si="68"/>
        <v>0</v>
      </c>
      <c r="O185" s="5">
        <v>0</v>
      </c>
      <c r="P185" s="5">
        <v>0</v>
      </c>
      <c r="Q185" s="5"/>
      <c r="R185" s="5"/>
      <c r="S185" s="5">
        <f t="shared" si="69"/>
        <v>0</v>
      </c>
      <c r="T185" s="7">
        <f>I185-S185</f>
        <v>5000000</v>
      </c>
      <c r="U185" s="5">
        <f>+S185</f>
        <v>0</v>
      </c>
      <c r="V185" s="5">
        <v>0</v>
      </c>
      <c r="Y185" s="300"/>
    </row>
    <row r="186" spans="1:25" s="83" customFormat="1" ht="11.25">
      <c r="A186" s="104"/>
      <c r="B186" s="101"/>
      <c r="C186" s="101"/>
      <c r="D186" s="17"/>
      <c r="E186" s="17"/>
      <c r="F186" s="104"/>
      <c r="G186" s="5"/>
      <c r="H186" s="5"/>
      <c r="I186" s="5"/>
      <c r="J186" s="5"/>
      <c r="K186" s="5"/>
      <c r="L186" s="5"/>
      <c r="M186" s="5"/>
      <c r="N186" s="5">
        <f t="shared" si="68"/>
        <v>0</v>
      </c>
      <c r="O186" s="5"/>
      <c r="P186" s="5"/>
      <c r="Q186" s="5"/>
      <c r="R186" s="5"/>
      <c r="S186" s="5">
        <f t="shared" si="69"/>
        <v>0</v>
      </c>
      <c r="T186" s="7"/>
      <c r="U186" s="5"/>
      <c r="V186" s="5"/>
      <c r="Y186" s="300"/>
    </row>
    <row r="187" spans="1:25" s="98" customFormat="1" ht="11.25">
      <c r="A187" s="102"/>
      <c r="B187" s="43">
        <v>920</v>
      </c>
      <c r="C187" s="43"/>
      <c r="D187" s="1"/>
      <c r="E187" s="1"/>
      <c r="F187" s="102" t="s">
        <v>68</v>
      </c>
      <c r="G187" s="3">
        <f aca="true" t="shared" si="83" ref="G187:M187">G188</f>
        <v>0</v>
      </c>
      <c r="H187" s="3">
        <f t="shared" si="83"/>
        <v>0</v>
      </c>
      <c r="I187" s="3">
        <f t="shared" si="83"/>
        <v>0</v>
      </c>
      <c r="J187" s="3">
        <f t="shared" si="83"/>
        <v>0</v>
      </c>
      <c r="K187" s="3">
        <f t="shared" si="83"/>
        <v>0</v>
      </c>
      <c r="L187" s="3">
        <f t="shared" si="83"/>
        <v>0</v>
      </c>
      <c r="M187" s="3">
        <f t="shared" si="83"/>
        <v>0</v>
      </c>
      <c r="N187" s="3">
        <f t="shared" si="68"/>
        <v>0</v>
      </c>
      <c r="O187" s="3">
        <f aca="true" t="shared" si="84" ref="O187:V187">O188</f>
        <v>0</v>
      </c>
      <c r="P187" s="3">
        <f t="shared" si="84"/>
        <v>0</v>
      </c>
      <c r="Q187" s="3">
        <f t="shared" si="84"/>
        <v>0</v>
      </c>
      <c r="R187" s="3">
        <f t="shared" si="84"/>
        <v>0</v>
      </c>
      <c r="S187" s="3">
        <f t="shared" si="69"/>
        <v>0</v>
      </c>
      <c r="T187" s="6">
        <f t="shared" si="84"/>
        <v>0</v>
      </c>
      <c r="U187" s="3">
        <f t="shared" si="84"/>
        <v>0</v>
      </c>
      <c r="V187" s="3">
        <f t="shared" si="84"/>
        <v>0</v>
      </c>
      <c r="Y187" s="300"/>
    </row>
    <row r="188" spans="1:25" s="98" customFormat="1" ht="11.25">
      <c r="A188" s="103"/>
      <c r="B188" s="100"/>
      <c r="C188" s="100">
        <v>920</v>
      </c>
      <c r="D188" s="2" t="s">
        <v>77</v>
      </c>
      <c r="E188" s="2" t="s">
        <v>21</v>
      </c>
      <c r="F188" s="103" t="s">
        <v>175</v>
      </c>
      <c r="G188" s="5">
        <v>0</v>
      </c>
      <c r="H188" s="5">
        <v>0</v>
      </c>
      <c r="I188" s="5">
        <f>G188+H188</f>
        <v>0</v>
      </c>
      <c r="J188" s="5">
        <v>0</v>
      </c>
      <c r="K188" s="5">
        <v>0</v>
      </c>
      <c r="L188" s="5">
        <v>0</v>
      </c>
      <c r="M188" s="5">
        <v>0</v>
      </c>
      <c r="N188" s="5">
        <f t="shared" si="68"/>
        <v>0</v>
      </c>
      <c r="O188" s="5">
        <v>0</v>
      </c>
      <c r="P188" s="5">
        <v>0</v>
      </c>
      <c r="Q188" s="5"/>
      <c r="R188" s="5"/>
      <c r="S188" s="5">
        <f t="shared" si="69"/>
        <v>0</v>
      </c>
      <c r="T188" s="7">
        <v>0</v>
      </c>
      <c r="U188" s="5">
        <v>0</v>
      </c>
      <c r="V188" s="5">
        <v>0</v>
      </c>
      <c r="Y188" s="300"/>
    </row>
    <row r="189" spans="1:25" s="83" customFormat="1" ht="11.25">
      <c r="A189" s="104"/>
      <c r="B189" s="101"/>
      <c r="C189" s="101"/>
      <c r="D189" s="17"/>
      <c r="E189" s="17"/>
      <c r="F189" s="104"/>
      <c r="G189" s="5"/>
      <c r="H189" s="5"/>
      <c r="I189" s="5"/>
      <c r="J189" s="5"/>
      <c r="K189" s="5"/>
      <c r="L189" s="5"/>
      <c r="M189" s="5"/>
      <c r="N189" s="5">
        <f t="shared" si="68"/>
        <v>0</v>
      </c>
      <c r="O189" s="5"/>
      <c r="P189" s="5"/>
      <c r="Q189" s="5"/>
      <c r="R189" s="5"/>
      <c r="S189" s="5">
        <f t="shared" si="69"/>
        <v>0</v>
      </c>
      <c r="T189" s="7"/>
      <c r="U189" s="5"/>
      <c r="V189" s="5"/>
      <c r="Y189" s="300"/>
    </row>
    <row r="190" spans="1:25" s="98" customFormat="1" ht="11.25">
      <c r="A190" s="102"/>
      <c r="B190" s="43">
        <v>960</v>
      </c>
      <c r="C190" s="43"/>
      <c r="D190" s="1"/>
      <c r="E190" s="1"/>
      <c r="F190" s="102" t="s">
        <v>69</v>
      </c>
      <c r="G190" s="3">
        <f aca="true" t="shared" si="85" ref="G190:V190">SUM(G191:G193)</f>
        <v>0</v>
      </c>
      <c r="H190" s="3">
        <f t="shared" si="85"/>
        <v>18145018</v>
      </c>
      <c r="I190" s="3">
        <f t="shared" si="85"/>
        <v>18145018</v>
      </c>
      <c r="J190" s="3">
        <f t="shared" si="85"/>
        <v>0</v>
      </c>
      <c r="K190" s="3">
        <f t="shared" si="85"/>
        <v>18145018</v>
      </c>
      <c r="L190" s="3">
        <f t="shared" si="85"/>
        <v>0</v>
      </c>
      <c r="M190" s="3">
        <f t="shared" si="85"/>
        <v>0</v>
      </c>
      <c r="N190" s="3">
        <f t="shared" si="85"/>
        <v>18145018</v>
      </c>
      <c r="O190" s="3">
        <f t="shared" si="85"/>
        <v>0</v>
      </c>
      <c r="P190" s="3">
        <f t="shared" si="85"/>
        <v>0</v>
      </c>
      <c r="Q190" s="3">
        <f t="shared" si="85"/>
        <v>0</v>
      </c>
      <c r="R190" s="3">
        <f t="shared" si="85"/>
        <v>0</v>
      </c>
      <c r="S190" s="3">
        <f t="shared" si="85"/>
        <v>18145018</v>
      </c>
      <c r="T190" s="3">
        <f t="shared" si="85"/>
        <v>0</v>
      </c>
      <c r="U190" s="3">
        <f t="shared" si="85"/>
        <v>18145018</v>
      </c>
      <c r="V190" s="3">
        <f t="shared" si="85"/>
        <v>0</v>
      </c>
      <c r="Y190" s="300"/>
    </row>
    <row r="191" spans="1:25" s="98" customFormat="1" ht="20.25">
      <c r="A191" s="103"/>
      <c r="B191" s="100"/>
      <c r="C191" s="100">
        <v>960</v>
      </c>
      <c r="D191" s="2" t="s">
        <v>77</v>
      </c>
      <c r="E191" s="2" t="s">
        <v>32</v>
      </c>
      <c r="F191" s="115" t="s">
        <v>217</v>
      </c>
      <c r="G191" s="106">
        <v>0</v>
      </c>
      <c r="H191" s="106">
        <v>0</v>
      </c>
      <c r="I191" s="106">
        <f>G191+H191</f>
        <v>0</v>
      </c>
      <c r="J191" s="5">
        <v>0</v>
      </c>
      <c r="K191" s="5">
        <v>0</v>
      </c>
      <c r="L191" s="5">
        <v>0</v>
      </c>
      <c r="M191" s="5">
        <v>0</v>
      </c>
      <c r="N191" s="5">
        <f t="shared" si="68"/>
        <v>0</v>
      </c>
      <c r="O191" s="5">
        <v>0</v>
      </c>
      <c r="P191" s="5">
        <v>0</v>
      </c>
      <c r="Q191" s="5"/>
      <c r="R191" s="5"/>
      <c r="S191" s="5">
        <f t="shared" si="69"/>
        <v>0</v>
      </c>
      <c r="T191" s="7">
        <v>0</v>
      </c>
      <c r="U191" s="5">
        <v>0</v>
      </c>
      <c r="V191" s="5">
        <v>0</v>
      </c>
      <c r="Y191" s="300"/>
    </row>
    <row r="192" spans="1:25" s="98" customFormat="1" ht="20.25">
      <c r="A192" s="103"/>
      <c r="B192" s="100"/>
      <c r="C192" s="100">
        <v>960</v>
      </c>
      <c r="D192" s="2" t="s">
        <v>77</v>
      </c>
      <c r="E192" s="2" t="s">
        <v>21</v>
      </c>
      <c r="F192" s="115" t="s">
        <v>217</v>
      </c>
      <c r="G192" s="106">
        <v>0</v>
      </c>
      <c r="H192" s="106">
        <v>18145018</v>
      </c>
      <c r="I192" s="106">
        <f>G192+H192</f>
        <v>18145018</v>
      </c>
      <c r="J192" s="5">
        <v>0</v>
      </c>
      <c r="K192" s="5">
        <v>18145018</v>
      </c>
      <c r="L192" s="5">
        <v>0</v>
      </c>
      <c r="M192" s="5">
        <v>0</v>
      </c>
      <c r="N192" s="5">
        <f t="shared" si="68"/>
        <v>18145018</v>
      </c>
      <c r="O192" s="5">
        <v>0</v>
      </c>
      <c r="P192" s="5">
        <v>0</v>
      </c>
      <c r="Q192" s="5"/>
      <c r="R192" s="5"/>
      <c r="S192" s="5">
        <f t="shared" si="69"/>
        <v>18145018</v>
      </c>
      <c r="T192" s="7">
        <f>I192-S192</f>
        <v>0</v>
      </c>
      <c r="U192" s="5">
        <f>+I192-T192</f>
        <v>18145018</v>
      </c>
      <c r="V192" s="5">
        <v>0</v>
      </c>
      <c r="Y192" s="300"/>
    </row>
    <row r="193" spans="1:25" s="83" customFormat="1" ht="11.25">
      <c r="A193" s="104"/>
      <c r="B193" s="101"/>
      <c r="C193" s="101"/>
      <c r="D193" s="17"/>
      <c r="E193" s="17"/>
      <c r="F193" s="104"/>
      <c r="G193" s="5"/>
      <c r="H193" s="5"/>
      <c r="I193" s="5"/>
      <c r="J193" s="5"/>
      <c r="K193" s="5"/>
      <c r="L193" s="5"/>
      <c r="M193" s="5"/>
      <c r="N193" s="5">
        <f t="shared" si="68"/>
        <v>0</v>
      </c>
      <c r="O193" s="5"/>
      <c r="P193" s="5"/>
      <c r="Q193" s="5"/>
      <c r="R193" s="5"/>
      <c r="S193" s="5">
        <f t="shared" si="69"/>
        <v>0</v>
      </c>
      <c r="T193" s="7"/>
      <c r="U193" s="5"/>
      <c r="V193" s="5"/>
      <c r="Y193" s="300"/>
    </row>
    <row r="194" spans="1:25" s="98" customFormat="1" ht="11.25">
      <c r="A194" s="102"/>
      <c r="B194" s="43">
        <v>990</v>
      </c>
      <c r="C194" s="43"/>
      <c r="D194" s="1"/>
      <c r="E194" s="1"/>
      <c r="F194" s="102" t="s">
        <v>70</v>
      </c>
      <c r="G194" s="3">
        <f aca="true" t="shared" si="86" ref="G194:M194">G195</f>
        <v>0</v>
      </c>
      <c r="H194" s="3">
        <f t="shared" si="86"/>
        <v>0</v>
      </c>
      <c r="I194" s="3">
        <f t="shared" si="86"/>
        <v>0</v>
      </c>
      <c r="J194" s="3">
        <f t="shared" si="86"/>
        <v>0</v>
      </c>
      <c r="K194" s="3">
        <f t="shared" si="86"/>
        <v>0</v>
      </c>
      <c r="L194" s="3">
        <f t="shared" si="86"/>
        <v>0</v>
      </c>
      <c r="M194" s="3">
        <f t="shared" si="86"/>
        <v>0</v>
      </c>
      <c r="N194" s="3">
        <f t="shared" si="68"/>
        <v>0</v>
      </c>
      <c r="O194" s="3">
        <f aca="true" t="shared" si="87" ref="O194:V194">O195</f>
        <v>0</v>
      </c>
      <c r="P194" s="3">
        <f t="shared" si="87"/>
        <v>0</v>
      </c>
      <c r="Q194" s="3"/>
      <c r="R194" s="3"/>
      <c r="S194" s="3">
        <f t="shared" si="69"/>
        <v>0</v>
      </c>
      <c r="T194" s="6">
        <f t="shared" si="87"/>
        <v>0</v>
      </c>
      <c r="U194" s="3">
        <f t="shared" si="87"/>
        <v>0</v>
      </c>
      <c r="V194" s="3">
        <f t="shared" si="87"/>
        <v>0</v>
      </c>
      <c r="Y194" s="300"/>
    </row>
    <row r="195" spans="1:25" s="98" customFormat="1" ht="11.25">
      <c r="A195" s="103"/>
      <c r="B195" s="100"/>
      <c r="C195" s="100">
        <v>990</v>
      </c>
      <c r="D195" s="2" t="s">
        <v>77</v>
      </c>
      <c r="E195" s="2" t="s">
        <v>21</v>
      </c>
      <c r="F195" s="103" t="s">
        <v>71</v>
      </c>
      <c r="G195" s="5">
        <v>0</v>
      </c>
      <c r="H195" s="5">
        <v>0</v>
      </c>
      <c r="I195" s="5">
        <f>G195+H195</f>
        <v>0</v>
      </c>
      <c r="J195" s="5">
        <v>0</v>
      </c>
      <c r="K195" s="5">
        <v>0</v>
      </c>
      <c r="L195" s="5">
        <v>0</v>
      </c>
      <c r="M195" s="5">
        <v>0</v>
      </c>
      <c r="N195" s="5">
        <f t="shared" si="68"/>
        <v>0</v>
      </c>
      <c r="O195" s="5">
        <v>0</v>
      </c>
      <c r="P195" s="5">
        <v>0</v>
      </c>
      <c r="Q195" s="5"/>
      <c r="R195" s="5"/>
      <c r="S195" s="5">
        <f t="shared" si="69"/>
        <v>0</v>
      </c>
      <c r="T195" s="7">
        <f>I195-S195</f>
        <v>0</v>
      </c>
      <c r="U195" s="5">
        <f>+I195-T195</f>
        <v>0</v>
      </c>
      <c r="V195" s="5">
        <f>+S195-U195</f>
        <v>0</v>
      </c>
      <c r="Y195" s="300"/>
    </row>
    <row r="196" spans="1:25" s="83" customFormat="1" ht="11.25">
      <c r="A196" s="104"/>
      <c r="B196" s="101"/>
      <c r="C196" s="101"/>
      <c r="D196" s="17"/>
      <c r="E196" s="17"/>
      <c r="F196" s="104"/>
      <c r="G196" s="5"/>
      <c r="H196" s="5"/>
      <c r="I196" s="5"/>
      <c r="J196" s="5"/>
      <c r="K196" s="5"/>
      <c r="L196" s="5"/>
      <c r="M196" s="5"/>
      <c r="N196" s="5">
        <f t="shared" si="68"/>
        <v>0</v>
      </c>
      <c r="O196" s="5"/>
      <c r="P196" s="5"/>
      <c r="Q196" s="5"/>
      <c r="R196" s="5"/>
      <c r="S196" s="5">
        <f t="shared" si="69"/>
        <v>0</v>
      </c>
      <c r="T196" s="7"/>
      <c r="U196" s="5"/>
      <c r="V196" s="5"/>
      <c r="Y196" s="300"/>
    </row>
    <row r="197" spans="1:25" s="98" customFormat="1" ht="12.75">
      <c r="A197" s="43"/>
      <c r="B197" s="43"/>
      <c r="C197" s="43"/>
      <c r="D197" s="43"/>
      <c r="E197" s="43"/>
      <c r="F197" s="46" t="s">
        <v>72</v>
      </c>
      <c r="G197" s="3">
        <f aca="true" t="shared" si="88" ref="G197:U197">G198+G207+G241+G246+G257</f>
        <v>1986488206</v>
      </c>
      <c r="H197" s="3">
        <f t="shared" si="88"/>
        <v>88325433</v>
      </c>
      <c r="I197" s="3">
        <f t="shared" si="88"/>
        <v>2074813639</v>
      </c>
      <c r="J197" s="3">
        <f t="shared" si="88"/>
        <v>0</v>
      </c>
      <c r="K197" s="3">
        <f t="shared" si="88"/>
        <v>0</v>
      </c>
      <c r="L197" s="3">
        <f t="shared" si="88"/>
        <v>0</v>
      </c>
      <c r="M197" s="3">
        <f t="shared" si="88"/>
        <v>137000000</v>
      </c>
      <c r="N197" s="3">
        <f t="shared" si="88"/>
        <v>137000000</v>
      </c>
      <c r="O197" s="3">
        <f t="shared" si="88"/>
        <v>0</v>
      </c>
      <c r="P197" s="3">
        <f t="shared" si="88"/>
        <v>0</v>
      </c>
      <c r="Q197" s="3">
        <f t="shared" si="88"/>
        <v>41685755</v>
      </c>
      <c r="R197" s="3">
        <f t="shared" si="88"/>
        <v>45159567</v>
      </c>
      <c r="S197" s="3">
        <f t="shared" si="88"/>
        <v>223845322</v>
      </c>
      <c r="T197" s="3">
        <f t="shared" si="88"/>
        <v>1850968317</v>
      </c>
      <c r="U197" s="3">
        <f t="shared" si="88"/>
        <v>223845322</v>
      </c>
      <c r="V197" s="3">
        <f>V198+V207+V241+V246+V257</f>
        <v>0</v>
      </c>
      <c r="Y197" s="300"/>
    </row>
    <row r="198" spans="1:25" s="98" customFormat="1" ht="11.25">
      <c r="A198" s="43">
        <v>400</v>
      </c>
      <c r="B198" s="43"/>
      <c r="C198" s="43"/>
      <c r="D198" s="1"/>
      <c r="E198" s="1"/>
      <c r="F198" s="102" t="s">
        <v>292</v>
      </c>
      <c r="G198" s="3">
        <f aca="true" t="shared" si="89" ref="G198:M198">G199+G203</f>
        <v>0</v>
      </c>
      <c r="H198" s="3">
        <f t="shared" si="89"/>
        <v>0</v>
      </c>
      <c r="I198" s="3">
        <f t="shared" si="89"/>
        <v>0</v>
      </c>
      <c r="J198" s="3">
        <f t="shared" si="89"/>
        <v>0</v>
      </c>
      <c r="K198" s="3">
        <f t="shared" si="89"/>
        <v>0</v>
      </c>
      <c r="L198" s="3">
        <f t="shared" si="89"/>
        <v>0</v>
      </c>
      <c r="M198" s="3">
        <f t="shared" si="89"/>
        <v>0</v>
      </c>
      <c r="N198" s="3">
        <f t="shared" si="68"/>
        <v>0</v>
      </c>
      <c r="O198" s="3">
        <f aca="true" t="shared" si="90" ref="O198:V198">O199+O203</f>
        <v>0</v>
      </c>
      <c r="P198" s="3">
        <f t="shared" si="90"/>
        <v>0</v>
      </c>
      <c r="Q198" s="3"/>
      <c r="R198" s="3"/>
      <c r="S198" s="3">
        <f t="shared" si="69"/>
        <v>0</v>
      </c>
      <c r="T198" s="6">
        <f t="shared" si="90"/>
        <v>0</v>
      </c>
      <c r="U198" s="3">
        <f t="shared" si="90"/>
        <v>0</v>
      </c>
      <c r="V198" s="3">
        <f t="shared" si="90"/>
        <v>0</v>
      </c>
      <c r="Y198" s="300"/>
    </row>
    <row r="199" spans="1:25" s="98" customFormat="1" ht="11.25">
      <c r="A199" s="102"/>
      <c r="B199" s="43">
        <v>410</v>
      </c>
      <c r="C199" s="43"/>
      <c r="D199" s="1"/>
      <c r="E199" s="1"/>
      <c r="F199" s="102" t="s">
        <v>294</v>
      </c>
      <c r="G199" s="3">
        <f aca="true" t="shared" si="91" ref="G199:M199">SUM(G200:G202)</f>
        <v>0</v>
      </c>
      <c r="H199" s="3">
        <f t="shared" si="91"/>
        <v>0</v>
      </c>
      <c r="I199" s="3">
        <f t="shared" si="91"/>
        <v>0</v>
      </c>
      <c r="J199" s="3">
        <f t="shared" si="91"/>
        <v>0</v>
      </c>
      <c r="K199" s="3">
        <f t="shared" si="91"/>
        <v>0</v>
      </c>
      <c r="L199" s="3">
        <f t="shared" si="91"/>
        <v>0</v>
      </c>
      <c r="M199" s="3">
        <f t="shared" si="91"/>
        <v>0</v>
      </c>
      <c r="N199" s="3">
        <f t="shared" si="68"/>
        <v>0</v>
      </c>
      <c r="O199" s="3">
        <f aca="true" t="shared" si="92" ref="O199:V199">SUM(O200:O202)</f>
        <v>0</v>
      </c>
      <c r="P199" s="3">
        <f t="shared" si="92"/>
        <v>0</v>
      </c>
      <c r="Q199" s="3"/>
      <c r="R199" s="3"/>
      <c r="S199" s="3">
        <f t="shared" si="69"/>
        <v>0</v>
      </c>
      <c r="T199" s="6">
        <f t="shared" si="92"/>
        <v>0</v>
      </c>
      <c r="U199" s="3">
        <f t="shared" si="92"/>
        <v>0</v>
      </c>
      <c r="V199" s="3">
        <f t="shared" si="92"/>
        <v>0</v>
      </c>
      <c r="Y199" s="300"/>
    </row>
    <row r="200" spans="1:25" s="98" customFormat="1" ht="11.25">
      <c r="A200" s="103"/>
      <c r="B200" s="100"/>
      <c r="C200" s="100">
        <v>410</v>
      </c>
      <c r="D200" s="2" t="s">
        <v>77</v>
      </c>
      <c r="E200" s="2" t="s">
        <v>32</v>
      </c>
      <c r="F200" s="103" t="s">
        <v>294</v>
      </c>
      <c r="G200" s="5">
        <v>0</v>
      </c>
      <c r="H200" s="5">
        <v>0</v>
      </c>
      <c r="I200" s="5">
        <f>G200+H200</f>
        <v>0</v>
      </c>
      <c r="J200" s="5">
        <f aca="true" t="shared" si="93" ref="J200:V200">H200+I200</f>
        <v>0</v>
      </c>
      <c r="K200" s="5">
        <f t="shared" si="93"/>
        <v>0</v>
      </c>
      <c r="L200" s="5">
        <f t="shared" si="93"/>
        <v>0</v>
      </c>
      <c r="M200" s="5">
        <f t="shared" si="93"/>
        <v>0</v>
      </c>
      <c r="N200" s="5">
        <f t="shared" si="68"/>
        <v>0</v>
      </c>
      <c r="O200" s="5">
        <f>L200+M200</f>
        <v>0</v>
      </c>
      <c r="P200" s="5">
        <f>M200+O200</f>
        <v>0</v>
      </c>
      <c r="Q200" s="5"/>
      <c r="R200" s="5"/>
      <c r="S200" s="5">
        <f t="shared" si="69"/>
        <v>0</v>
      </c>
      <c r="T200" s="5">
        <f>P200+S200</f>
        <v>0</v>
      </c>
      <c r="U200" s="5">
        <f t="shared" si="93"/>
        <v>0</v>
      </c>
      <c r="V200" s="5">
        <f t="shared" si="93"/>
        <v>0</v>
      </c>
      <c r="Y200" s="300"/>
    </row>
    <row r="201" spans="1:25" s="98" customFormat="1" ht="11.25">
      <c r="A201" s="103"/>
      <c r="B201" s="100"/>
      <c r="C201" s="100">
        <v>410</v>
      </c>
      <c r="D201" s="2" t="s">
        <v>77</v>
      </c>
      <c r="E201" s="2" t="s">
        <v>21</v>
      </c>
      <c r="F201" s="103" t="s">
        <v>294</v>
      </c>
      <c r="G201" s="5">
        <v>0</v>
      </c>
      <c r="H201" s="5">
        <v>0</v>
      </c>
      <c r="I201" s="5">
        <f>G201+H201</f>
        <v>0</v>
      </c>
      <c r="J201" s="5">
        <f aca="true" t="shared" si="94" ref="J201:V201">H201+I201</f>
        <v>0</v>
      </c>
      <c r="K201" s="5">
        <f t="shared" si="94"/>
        <v>0</v>
      </c>
      <c r="L201" s="5">
        <f t="shared" si="94"/>
        <v>0</v>
      </c>
      <c r="M201" s="5">
        <f t="shared" si="94"/>
        <v>0</v>
      </c>
      <c r="N201" s="5">
        <f t="shared" si="68"/>
        <v>0</v>
      </c>
      <c r="O201" s="5">
        <f>L201+M201</f>
        <v>0</v>
      </c>
      <c r="P201" s="5">
        <f>M201+O201</f>
        <v>0</v>
      </c>
      <c r="Q201" s="5"/>
      <c r="R201" s="5"/>
      <c r="S201" s="5">
        <f t="shared" si="69"/>
        <v>0</v>
      </c>
      <c r="T201" s="5">
        <f>P201+S201</f>
        <v>0</v>
      </c>
      <c r="U201" s="5">
        <f t="shared" si="94"/>
        <v>0</v>
      </c>
      <c r="V201" s="5">
        <f t="shared" si="94"/>
        <v>0</v>
      </c>
      <c r="Y201" s="300"/>
    </row>
    <row r="202" spans="1:25" s="98" customFormat="1" ht="15">
      <c r="A202" s="43"/>
      <c r="B202" s="43"/>
      <c r="C202" s="43"/>
      <c r="D202" s="43"/>
      <c r="E202" s="43"/>
      <c r="F202" s="41"/>
      <c r="G202" s="3"/>
      <c r="H202" s="3"/>
      <c r="I202" s="3"/>
      <c r="J202" s="3"/>
      <c r="K202" s="3"/>
      <c r="L202" s="3"/>
      <c r="M202" s="3"/>
      <c r="N202" s="3">
        <f t="shared" si="68"/>
        <v>0</v>
      </c>
      <c r="O202" s="3"/>
      <c r="P202" s="3"/>
      <c r="Q202" s="3"/>
      <c r="R202" s="3"/>
      <c r="S202" s="3">
        <f t="shared" si="69"/>
        <v>0</v>
      </c>
      <c r="T202" s="6"/>
      <c r="U202" s="3"/>
      <c r="V202" s="3"/>
      <c r="Y202" s="300"/>
    </row>
    <row r="203" spans="1:25" s="98" customFormat="1" ht="11.25">
      <c r="A203" s="102"/>
      <c r="B203" s="43">
        <v>420</v>
      </c>
      <c r="C203" s="43"/>
      <c r="D203" s="1"/>
      <c r="E203" s="1"/>
      <c r="F203" s="102" t="s">
        <v>293</v>
      </c>
      <c r="G203" s="3">
        <f aca="true" t="shared" si="95" ref="G203:M203">SUM(G204:G206)</f>
        <v>0</v>
      </c>
      <c r="H203" s="3">
        <f t="shared" si="95"/>
        <v>0</v>
      </c>
      <c r="I203" s="3">
        <f t="shared" si="95"/>
        <v>0</v>
      </c>
      <c r="J203" s="3">
        <f t="shared" si="95"/>
        <v>0</v>
      </c>
      <c r="K203" s="3">
        <f t="shared" si="95"/>
        <v>0</v>
      </c>
      <c r="L203" s="3">
        <f t="shared" si="95"/>
        <v>0</v>
      </c>
      <c r="M203" s="3">
        <f t="shared" si="95"/>
        <v>0</v>
      </c>
      <c r="N203" s="3">
        <f t="shared" si="68"/>
        <v>0</v>
      </c>
      <c r="O203" s="3">
        <f aca="true" t="shared" si="96" ref="O203:V203">SUM(O204:O206)</f>
        <v>0</v>
      </c>
      <c r="P203" s="3">
        <f t="shared" si="96"/>
        <v>0</v>
      </c>
      <c r="Q203" s="3"/>
      <c r="R203" s="3"/>
      <c r="S203" s="3">
        <f t="shared" si="69"/>
        <v>0</v>
      </c>
      <c r="T203" s="6">
        <f t="shared" si="96"/>
        <v>0</v>
      </c>
      <c r="U203" s="3">
        <f t="shared" si="96"/>
        <v>0</v>
      </c>
      <c r="V203" s="3">
        <f t="shared" si="96"/>
        <v>0</v>
      </c>
      <c r="Y203" s="300"/>
    </row>
    <row r="204" spans="1:25" s="98" customFormat="1" ht="11.25">
      <c r="A204" s="103"/>
      <c r="B204" s="100"/>
      <c r="C204" s="100">
        <v>420</v>
      </c>
      <c r="D204" s="2" t="s">
        <v>77</v>
      </c>
      <c r="E204" s="2" t="s">
        <v>32</v>
      </c>
      <c r="F204" s="103" t="s">
        <v>293</v>
      </c>
      <c r="G204" s="5">
        <v>0</v>
      </c>
      <c r="H204" s="5">
        <v>0</v>
      </c>
      <c r="I204" s="5">
        <f>G204+H204</f>
        <v>0</v>
      </c>
      <c r="J204" s="5">
        <f aca="true" t="shared" si="97" ref="J204:V204">H204+I204</f>
        <v>0</v>
      </c>
      <c r="K204" s="5">
        <f t="shared" si="97"/>
        <v>0</v>
      </c>
      <c r="L204" s="5">
        <f t="shared" si="97"/>
        <v>0</v>
      </c>
      <c r="M204" s="5">
        <f t="shared" si="97"/>
        <v>0</v>
      </c>
      <c r="N204" s="5">
        <f t="shared" si="68"/>
        <v>0</v>
      </c>
      <c r="O204" s="5">
        <f>L204+M204</f>
        <v>0</v>
      </c>
      <c r="P204" s="5">
        <f>M204+O204</f>
        <v>0</v>
      </c>
      <c r="Q204" s="5"/>
      <c r="R204" s="5"/>
      <c r="S204" s="5">
        <f t="shared" si="69"/>
        <v>0</v>
      </c>
      <c r="T204" s="5">
        <f>P204+S204</f>
        <v>0</v>
      </c>
      <c r="U204" s="5">
        <f t="shared" si="97"/>
        <v>0</v>
      </c>
      <c r="V204" s="5">
        <f t="shared" si="97"/>
        <v>0</v>
      </c>
      <c r="Y204" s="300"/>
    </row>
    <row r="205" spans="1:25" s="98" customFormat="1" ht="11.25">
      <c r="A205" s="103"/>
      <c r="B205" s="100"/>
      <c r="C205" s="100">
        <v>420</v>
      </c>
      <c r="D205" s="2" t="s">
        <v>77</v>
      </c>
      <c r="E205" s="2" t="s">
        <v>21</v>
      </c>
      <c r="F205" s="103" t="s">
        <v>293</v>
      </c>
      <c r="G205" s="5">
        <v>0</v>
      </c>
      <c r="H205" s="5">
        <v>0</v>
      </c>
      <c r="I205" s="5">
        <f>G205+H205</f>
        <v>0</v>
      </c>
      <c r="J205" s="5">
        <f aca="true" t="shared" si="98" ref="J205:V205">H205+I205</f>
        <v>0</v>
      </c>
      <c r="K205" s="5">
        <f t="shared" si="98"/>
        <v>0</v>
      </c>
      <c r="L205" s="5">
        <f t="shared" si="98"/>
        <v>0</v>
      </c>
      <c r="M205" s="5">
        <f t="shared" si="98"/>
        <v>0</v>
      </c>
      <c r="N205" s="5">
        <f t="shared" si="68"/>
        <v>0</v>
      </c>
      <c r="O205" s="5">
        <f>L205+M205</f>
        <v>0</v>
      </c>
      <c r="P205" s="5">
        <f>M205+O205</f>
        <v>0</v>
      </c>
      <c r="Q205" s="5"/>
      <c r="R205" s="5"/>
      <c r="S205" s="5">
        <f t="shared" si="69"/>
        <v>0</v>
      </c>
      <c r="T205" s="5">
        <f>P205+S205</f>
        <v>0</v>
      </c>
      <c r="U205" s="5">
        <f t="shared" si="98"/>
        <v>0</v>
      </c>
      <c r="V205" s="5">
        <f t="shared" si="98"/>
        <v>0</v>
      </c>
      <c r="Y205" s="300"/>
    </row>
    <row r="206" spans="1:25" s="98" customFormat="1" ht="15">
      <c r="A206" s="43"/>
      <c r="B206" s="43"/>
      <c r="C206" s="43"/>
      <c r="D206" s="43"/>
      <c r="E206" s="43"/>
      <c r="F206" s="41"/>
      <c r="G206" s="3"/>
      <c r="H206" s="3"/>
      <c r="I206" s="3"/>
      <c r="J206" s="3"/>
      <c r="K206" s="3"/>
      <c r="L206" s="3"/>
      <c r="M206" s="3"/>
      <c r="N206" s="3">
        <f t="shared" si="68"/>
        <v>0</v>
      </c>
      <c r="O206" s="3"/>
      <c r="P206" s="3"/>
      <c r="Q206" s="3"/>
      <c r="R206" s="3"/>
      <c r="S206" s="3">
        <f t="shared" si="69"/>
        <v>0</v>
      </c>
      <c r="T206" s="6"/>
      <c r="U206" s="3"/>
      <c r="V206" s="3"/>
      <c r="Y206" s="300"/>
    </row>
    <row r="207" spans="1:25" s="98" customFormat="1" ht="11.25">
      <c r="A207" s="43">
        <v>500</v>
      </c>
      <c r="B207" s="43"/>
      <c r="C207" s="43"/>
      <c r="D207" s="1"/>
      <c r="E207" s="1"/>
      <c r="F207" s="102" t="s">
        <v>73</v>
      </c>
      <c r="G207" s="3">
        <f aca="true" t="shared" si="99" ref="G207:V207">G208+G212+G218+G224+G230+G234+G237</f>
        <v>1798488206</v>
      </c>
      <c r="H207" s="3">
        <f t="shared" si="99"/>
        <v>166610554</v>
      </c>
      <c r="I207" s="3">
        <f t="shared" si="99"/>
        <v>1965098760</v>
      </c>
      <c r="J207" s="3">
        <f t="shared" si="99"/>
        <v>0</v>
      </c>
      <c r="K207" s="3">
        <f t="shared" si="99"/>
        <v>0</v>
      </c>
      <c r="L207" s="3">
        <f t="shared" si="99"/>
        <v>0</v>
      </c>
      <c r="M207" s="3">
        <f t="shared" si="99"/>
        <v>137000000</v>
      </c>
      <c r="N207" s="3">
        <f t="shared" si="99"/>
        <v>137000000</v>
      </c>
      <c r="O207" s="3">
        <f t="shared" si="99"/>
        <v>0</v>
      </c>
      <c r="P207" s="3">
        <f t="shared" si="99"/>
        <v>0</v>
      </c>
      <c r="Q207" s="3">
        <f t="shared" si="99"/>
        <v>41685755</v>
      </c>
      <c r="R207" s="3">
        <f t="shared" si="99"/>
        <v>45159567</v>
      </c>
      <c r="S207" s="3">
        <f t="shared" si="99"/>
        <v>223845322</v>
      </c>
      <c r="T207" s="3">
        <f t="shared" si="99"/>
        <v>1741253438</v>
      </c>
      <c r="U207" s="3">
        <f t="shared" si="99"/>
        <v>223845322</v>
      </c>
      <c r="V207" s="3">
        <f t="shared" si="99"/>
        <v>0</v>
      </c>
      <c r="Y207" s="300"/>
    </row>
    <row r="208" spans="1:25" s="98" customFormat="1" ht="11.25">
      <c r="A208" s="102"/>
      <c r="B208" s="43">
        <v>510</v>
      </c>
      <c r="C208" s="43"/>
      <c r="D208" s="1"/>
      <c r="E208" s="1"/>
      <c r="F208" s="102" t="s">
        <v>192</v>
      </c>
      <c r="G208" s="3">
        <f aca="true" t="shared" si="100" ref="G208:M208">SUM(G209:G211)</f>
        <v>0</v>
      </c>
      <c r="H208" s="3">
        <f t="shared" si="100"/>
        <v>0</v>
      </c>
      <c r="I208" s="3">
        <f t="shared" si="100"/>
        <v>0</v>
      </c>
      <c r="J208" s="3">
        <f t="shared" si="100"/>
        <v>0</v>
      </c>
      <c r="K208" s="3">
        <f t="shared" si="100"/>
        <v>0</v>
      </c>
      <c r="L208" s="3">
        <f t="shared" si="100"/>
        <v>0</v>
      </c>
      <c r="M208" s="3">
        <f t="shared" si="100"/>
        <v>0</v>
      </c>
      <c r="N208" s="3">
        <f t="shared" si="68"/>
        <v>0</v>
      </c>
      <c r="O208" s="3">
        <f aca="true" t="shared" si="101" ref="O208:V208">SUM(O209:O211)</f>
        <v>0</v>
      </c>
      <c r="P208" s="3">
        <f t="shared" si="101"/>
        <v>0</v>
      </c>
      <c r="Q208" s="3"/>
      <c r="R208" s="3"/>
      <c r="S208" s="3">
        <f t="shared" si="69"/>
        <v>0</v>
      </c>
      <c r="T208" s="6">
        <f t="shared" si="101"/>
        <v>0</v>
      </c>
      <c r="U208" s="3">
        <f t="shared" si="101"/>
        <v>0</v>
      </c>
      <c r="V208" s="3">
        <f t="shared" si="101"/>
        <v>0</v>
      </c>
      <c r="Y208" s="300"/>
    </row>
    <row r="209" spans="1:25" s="98" customFormat="1" ht="11.25">
      <c r="A209" s="103"/>
      <c r="B209" s="100"/>
      <c r="C209" s="100">
        <v>510</v>
      </c>
      <c r="D209" s="2" t="s">
        <v>77</v>
      </c>
      <c r="E209" s="2" t="s">
        <v>32</v>
      </c>
      <c r="F209" s="103" t="s">
        <v>192</v>
      </c>
      <c r="G209" s="5">
        <v>0</v>
      </c>
      <c r="H209" s="5">
        <v>0</v>
      </c>
      <c r="I209" s="5">
        <f>G209+H209</f>
        <v>0</v>
      </c>
      <c r="J209" s="5">
        <f aca="true" t="shared" si="102" ref="J209:V209">H209+I209</f>
        <v>0</v>
      </c>
      <c r="K209" s="5">
        <f t="shared" si="102"/>
        <v>0</v>
      </c>
      <c r="L209" s="5">
        <f t="shared" si="102"/>
        <v>0</v>
      </c>
      <c r="M209" s="5">
        <f t="shared" si="102"/>
        <v>0</v>
      </c>
      <c r="N209" s="5">
        <f t="shared" si="68"/>
        <v>0</v>
      </c>
      <c r="O209" s="5">
        <f>L209+M209</f>
        <v>0</v>
      </c>
      <c r="P209" s="5">
        <f>M209+O209</f>
        <v>0</v>
      </c>
      <c r="Q209" s="5"/>
      <c r="R209" s="5"/>
      <c r="S209" s="5">
        <f t="shared" si="69"/>
        <v>0</v>
      </c>
      <c r="T209" s="5">
        <f>P209+S209</f>
        <v>0</v>
      </c>
      <c r="U209" s="5">
        <f t="shared" si="102"/>
        <v>0</v>
      </c>
      <c r="V209" s="5">
        <f t="shared" si="102"/>
        <v>0</v>
      </c>
      <c r="Y209" s="300"/>
    </row>
    <row r="210" spans="1:25" s="98" customFormat="1" ht="11.25">
      <c r="A210" s="103"/>
      <c r="B210" s="100"/>
      <c r="C210" s="100">
        <v>510</v>
      </c>
      <c r="D210" s="2" t="s">
        <v>77</v>
      </c>
      <c r="E210" s="2" t="s">
        <v>21</v>
      </c>
      <c r="F210" s="103" t="s">
        <v>192</v>
      </c>
      <c r="G210" s="5">
        <v>0</v>
      </c>
      <c r="H210" s="5">
        <v>0</v>
      </c>
      <c r="I210" s="5">
        <f>G210+H210</f>
        <v>0</v>
      </c>
      <c r="J210" s="5">
        <f aca="true" t="shared" si="103" ref="J210:V210">H210+I210</f>
        <v>0</v>
      </c>
      <c r="K210" s="5">
        <f t="shared" si="103"/>
        <v>0</v>
      </c>
      <c r="L210" s="5">
        <f t="shared" si="103"/>
        <v>0</v>
      </c>
      <c r="M210" s="5">
        <f t="shared" si="103"/>
        <v>0</v>
      </c>
      <c r="N210" s="5">
        <f aca="true" t="shared" si="104" ref="N210:N262">+J210+K210+L210+M210</f>
        <v>0</v>
      </c>
      <c r="O210" s="5">
        <f>L210+M210</f>
        <v>0</v>
      </c>
      <c r="P210" s="5">
        <f>M210+O210</f>
        <v>0</v>
      </c>
      <c r="Q210" s="5"/>
      <c r="R210" s="5"/>
      <c r="S210" s="5">
        <f aca="true" t="shared" si="105" ref="S210:S262">+N210+O210+P210+Q210+R210</f>
        <v>0</v>
      </c>
      <c r="T210" s="5">
        <f>P210+S210</f>
        <v>0</v>
      </c>
      <c r="U210" s="5">
        <f t="shared" si="103"/>
        <v>0</v>
      </c>
      <c r="V210" s="5">
        <f t="shared" si="103"/>
        <v>0</v>
      </c>
      <c r="Y210" s="300"/>
    </row>
    <row r="211" spans="1:25" s="83" customFormat="1" ht="7.5" customHeight="1">
      <c r="A211" s="116"/>
      <c r="B211" s="117"/>
      <c r="C211" s="117"/>
      <c r="D211" s="16"/>
      <c r="E211" s="16"/>
      <c r="F211" s="116"/>
      <c r="G211" s="3"/>
      <c r="H211" s="3"/>
      <c r="I211" s="3"/>
      <c r="J211" s="3"/>
      <c r="K211" s="3"/>
      <c r="L211" s="3"/>
      <c r="M211" s="3"/>
      <c r="N211" s="3">
        <f t="shared" si="104"/>
        <v>0</v>
      </c>
      <c r="O211" s="3"/>
      <c r="P211" s="3"/>
      <c r="Q211" s="3"/>
      <c r="R211" s="3"/>
      <c r="S211" s="3">
        <f t="shared" si="105"/>
        <v>0</v>
      </c>
      <c r="T211" s="6"/>
      <c r="U211" s="3"/>
      <c r="V211" s="3"/>
      <c r="Y211" s="300"/>
    </row>
    <row r="212" spans="1:25" s="98" customFormat="1" ht="11.25">
      <c r="A212" s="102"/>
      <c r="B212" s="43">
        <v>520</v>
      </c>
      <c r="C212" s="43"/>
      <c r="D212" s="1"/>
      <c r="E212" s="1"/>
      <c r="F212" s="102" t="s">
        <v>74</v>
      </c>
      <c r="G212" s="3">
        <f aca="true" t="shared" si="106" ref="G212:V212">SUM(G213:G217)</f>
        <v>1572822886</v>
      </c>
      <c r="H212" s="3">
        <f t="shared" si="106"/>
        <v>166610554</v>
      </c>
      <c r="I212" s="3">
        <f t="shared" si="106"/>
        <v>1739433440</v>
      </c>
      <c r="J212" s="3">
        <f t="shared" si="106"/>
        <v>0</v>
      </c>
      <c r="K212" s="3">
        <f t="shared" si="106"/>
        <v>0</v>
      </c>
      <c r="L212" s="3">
        <f t="shared" si="106"/>
        <v>0</v>
      </c>
      <c r="M212" s="3">
        <f t="shared" si="106"/>
        <v>137000000</v>
      </c>
      <c r="N212" s="3">
        <f t="shared" si="106"/>
        <v>137000000</v>
      </c>
      <c r="O212" s="3">
        <f t="shared" si="106"/>
        <v>0</v>
      </c>
      <c r="P212" s="3">
        <f t="shared" si="106"/>
        <v>0</v>
      </c>
      <c r="Q212" s="3">
        <f t="shared" si="106"/>
        <v>41685755</v>
      </c>
      <c r="R212" s="3">
        <f t="shared" si="106"/>
        <v>45159567</v>
      </c>
      <c r="S212" s="3">
        <f t="shared" si="106"/>
        <v>223845322</v>
      </c>
      <c r="T212" s="3">
        <f t="shared" si="106"/>
        <v>1515588118</v>
      </c>
      <c r="U212" s="3">
        <f t="shared" si="106"/>
        <v>223845322</v>
      </c>
      <c r="V212" s="3">
        <f t="shared" si="106"/>
        <v>0</v>
      </c>
      <c r="Y212" s="300"/>
    </row>
    <row r="213" spans="1:25" s="98" customFormat="1" ht="11.25">
      <c r="A213" s="103"/>
      <c r="B213" s="100"/>
      <c r="C213" s="100">
        <v>520</v>
      </c>
      <c r="D213" s="2" t="s">
        <v>77</v>
      </c>
      <c r="E213" s="2" t="s">
        <v>32</v>
      </c>
      <c r="F213" s="103" t="s">
        <v>74</v>
      </c>
      <c r="G213" s="5">
        <v>750000000</v>
      </c>
      <c r="H213" s="5">
        <v>-50000000</v>
      </c>
      <c r="I213" s="5">
        <f>G213+H213</f>
        <v>700000000</v>
      </c>
      <c r="J213" s="5">
        <v>0</v>
      </c>
      <c r="K213" s="5">
        <v>0</v>
      </c>
      <c r="L213" s="5">
        <v>0</v>
      </c>
      <c r="M213" s="5">
        <v>137000000</v>
      </c>
      <c r="N213" s="5">
        <f t="shared" si="104"/>
        <v>137000000</v>
      </c>
      <c r="O213" s="5">
        <v>0</v>
      </c>
      <c r="P213" s="5">
        <v>0</v>
      </c>
      <c r="Q213" s="5"/>
      <c r="R213" s="5"/>
      <c r="S213" s="5">
        <f t="shared" si="105"/>
        <v>137000000</v>
      </c>
      <c r="T213" s="7">
        <f>I213-S213</f>
        <v>563000000</v>
      </c>
      <c r="U213" s="5">
        <f>+S213</f>
        <v>137000000</v>
      </c>
      <c r="V213" s="5">
        <v>0</v>
      </c>
      <c r="Y213" s="300"/>
    </row>
    <row r="214" spans="1:25" s="98" customFormat="1" ht="11.25">
      <c r="A214" s="103"/>
      <c r="B214" s="100"/>
      <c r="C214" s="100">
        <v>520</v>
      </c>
      <c r="D214" s="2" t="s">
        <v>77</v>
      </c>
      <c r="E214" s="2" t="s">
        <v>33</v>
      </c>
      <c r="F214" s="103" t="s">
        <v>74</v>
      </c>
      <c r="G214" s="5">
        <v>0</v>
      </c>
      <c r="H214" s="5">
        <v>50500000</v>
      </c>
      <c r="I214" s="5">
        <f>G214+H214</f>
        <v>50500000</v>
      </c>
      <c r="J214" s="5">
        <v>0</v>
      </c>
      <c r="K214" s="5">
        <v>0</v>
      </c>
      <c r="L214" s="5">
        <v>0</v>
      </c>
      <c r="M214" s="5">
        <v>0</v>
      </c>
      <c r="N214" s="5">
        <f t="shared" si="104"/>
        <v>0</v>
      </c>
      <c r="O214" s="5">
        <v>0</v>
      </c>
      <c r="P214" s="5">
        <v>0</v>
      </c>
      <c r="Q214" s="5"/>
      <c r="R214" s="5"/>
      <c r="S214" s="5">
        <f t="shared" si="105"/>
        <v>0</v>
      </c>
      <c r="T214" s="7">
        <f>I214-S214</f>
        <v>50500000</v>
      </c>
      <c r="U214" s="5">
        <f>+S214</f>
        <v>0</v>
      </c>
      <c r="V214" s="5">
        <v>0</v>
      </c>
      <c r="Y214" s="300"/>
    </row>
    <row r="215" spans="1:25" s="98" customFormat="1" ht="11.25">
      <c r="A215" s="103"/>
      <c r="B215" s="100"/>
      <c r="C215" s="100">
        <v>520</v>
      </c>
      <c r="D215" s="2" t="s">
        <v>77</v>
      </c>
      <c r="E215" s="2" t="s">
        <v>55</v>
      </c>
      <c r="F215" s="103" t="s">
        <v>74</v>
      </c>
      <c r="G215" s="5">
        <v>742822886</v>
      </c>
      <c r="H215" s="5">
        <f>-222846864+40123537</f>
        <v>-182723327</v>
      </c>
      <c r="I215" s="5">
        <f>G215+H215</f>
        <v>560099559</v>
      </c>
      <c r="J215" s="5">
        <v>0</v>
      </c>
      <c r="K215" s="5">
        <v>0</v>
      </c>
      <c r="L215" s="5">
        <v>0</v>
      </c>
      <c r="M215" s="5">
        <v>0</v>
      </c>
      <c r="N215" s="5">
        <f t="shared" si="104"/>
        <v>0</v>
      </c>
      <c r="O215" s="5">
        <v>0</v>
      </c>
      <c r="P215" s="5">
        <v>0</v>
      </c>
      <c r="Q215" s="5">
        <f>+FONACIDE!R213</f>
        <v>41685755</v>
      </c>
      <c r="R215" s="5">
        <f>+FONACIDE!S213</f>
        <v>45159567</v>
      </c>
      <c r="S215" s="5">
        <f t="shared" si="105"/>
        <v>86845322</v>
      </c>
      <c r="T215" s="7">
        <f>I215-S215</f>
        <v>473254237</v>
      </c>
      <c r="U215" s="5">
        <f>+S215</f>
        <v>86845322</v>
      </c>
      <c r="V215" s="5">
        <v>0</v>
      </c>
      <c r="Y215" s="300"/>
    </row>
    <row r="216" spans="1:25" s="98" customFormat="1" ht="11.25">
      <c r="A216" s="103"/>
      <c r="B216" s="100"/>
      <c r="C216" s="100">
        <v>520</v>
      </c>
      <c r="D216" s="2" t="s">
        <v>77</v>
      </c>
      <c r="E216" s="2" t="s">
        <v>21</v>
      </c>
      <c r="F216" s="103" t="s">
        <v>74</v>
      </c>
      <c r="G216" s="5">
        <v>80000000</v>
      </c>
      <c r="H216" s="5">
        <f>340000000+8833881</f>
        <v>348833881</v>
      </c>
      <c r="I216" s="5">
        <f>G216+H216</f>
        <v>428833881</v>
      </c>
      <c r="J216" s="5">
        <v>0</v>
      </c>
      <c r="K216" s="5">
        <v>0</v>
      </c>
      <c r="L216" s="5">
        <v>0</v>
      </c>
      <c r="M216" s="5">
        <v>0</v>
      </c>
      <c r="N216" s="5">
        <f t="shared" si="104"/>
        <v>0</v>
      </c>
      <c r="O216" s="5">
        <v>0</v>
      </c>
      <c r="P216" s="5">
        <v>0</v>
      </c>
      <c r="Q216" s="5"/>
      <c r="R216" s="5"/>
      <c r="S216" s="5">
        <f t="shared" si="105"/>
        <v>0</v>
      </c>
      <c r="T216" s="7">
        <f>I216-S216</f>
        <v>428833881</v>
      </c>
      <c r="U216" s="5">
        <f>+S216</f>
        <v>0</v>
      </c>
      <c r="V216" s="5">
        <v>0</v>
      </c>
      <c r="Y216" s="300"/>
    </row>
    <row r="217" spans="1:25" s="83" customFormat="1" ht="7.5" customHeight="1">
      <c r="A217" s="104"/>
      <c r="B217" s="101"/>
      <c r="C217" s="101"/>
      <c r="D217" s="17"/>
      <c r="E217" s="17"/>
      <c r="F217" s="104"/>
      <c r="G217" s="5"/>
      <c r="H217" s="5"/>
      <c r="I217" s="5"/>
      <c r="J217" s="5"/>
      <c r="K217" s="5"/>
      <c r="L217" s="5"/>
      <c r="M217" s="5"/>
      <c r="N217" s="5">
        <f t="shared" si="104"/>
        <v>0</v>
      </c>
      <c r="O217" s="5"/>
      <c r="P217" s="5"/>
      <c r="Q217" s="5"/>
      <c r="R217" s="5"/>
      <c r="S217" s="5">
        <f t="shared" si="105"/>
        <v>0</v>
      </c>
      <c r="T217" s="7"/>
      <c r="U217" s="5"/>
      <c r="V217" s="5"/>
      <c r="Y217" s="300"/>
    </row>
    <row r="218" spans="1:25" s="98" customFormat="1" ht="20.25">
      <c r="A218" s="43"/>
      <c r="B218" s="43">
        <v>530</v>
      </c>
      <c r="C218" s="43"/>
      <c r="D218" s="1"/>
      <c r="E218" s="1"/>
      <c r="F218" s="114" t="s">
        <v>148</v>
      </c>
      <c r="G218" s="107">
        <f aca="true" t="shared" si="107" ref="G218:U218">SUM(G219:G223)</f>
        <v>150000000</v>
      </c>
      <c r="H218" s="107">
        <f t="shared" si="107"/>
        <v>0</v>
      </c>
      <c r="I218" s="107">
        <f t="shared" si="107"/>
        <v>150000000</v>
      </c>
      <c r="J218" s="107">
        <f t="shared" si="107"/>
        <v>0</v>
      </c>
      <c r="K218" s="107">
        <f t="shared" si="107"/>
        <v>0</v>
      </c>
      <c r="L218" s="107">
        <f t="shared" si="107"/>
        <v>0</v>
      </c>
      <c r="M218" s="107">
        <f t="shared" si="107"/>
        <v>0</v>
      </c>
      <c r="N218" s="107">
        <f t="shared" si="107"/>
        <v>0</v>
      </c>
      <c r="O218" s="107">
        <f t="shared" si="107"/>
        <v>0</v>
      </c>
      <c r="P218" s="107">
        <f t="shared" si="107"/>
        <v>0</v>
      </c>
      <c r="Q218" s="107">
        <f t="shared" si="107"/>
        <v>0</v>
      </c>
      <c r="R218" s="107">
        <f t="shared" si="107"/>
        <v>0</v>
      </c>
      <c r="S218" s="107">
        <f t="shared" si="107"/>
        <v>0</v>
      </c>
      <c r="T218" s="107">
        <f t="shared" si="107"/>
        <v>150000000</v>
      </c>
      <c r="U218" s="107">
        <f t="shared" si="107"/>
        <v>0</v>
      </c>
      <c r="V218" s="107">
        <f>SUM(V219:V223)</f>
        <v>0</v>
      </c>
      <c r="Y218" s="300"/>
    </row>
    <row r="219" spans="1:25" s="98" customFormat="1" ht="11.25">
      <c r="A219" s="103"/>
      <c r="B219" s="100"/>
      <c r="C219" s="100">
        <v>530</v>
      </c>
      <c r="D219" s="2" t="s">
        <v>77</v>
      </c>
      <c r="E219" s="2" t="s">
        <v>32</v>
      </c>
      <c r="F219" s="103" t="s">
        <v>75</v>
      </c>
      <c r="G219" s="5">
        <v>150000000</v>
      </c>
      <c r="H219" s="5">
        <v>0</v>
      </c>
      <c r="I219" s="5">
        <f>G219+H219</f>
        <v>150000000</v>
      </c>
      <c r="J219" s="5">
        <v>0</v>
      </c>
      <c r="K219" s="5">
        <v>0</v>
      </c>
      <c r="L219" s="5">
        <v>0</v>
      </c>
      <c r="M219" s="5">
        <v>0</v>
      </c>
      <c r="N219" s="5">
        <f t="shared" si="104"/>
        <v>0</v>
      </c>
      <c r="O219" s="5">
        <v>0</v>
      </c>
      <c r="P219" s="5">
        <v>0</v>
      </c>
      <c r="Q219" s="5"/>
      <c r="R219" s="5"/>
      <c r="S219" s="5">
        <f t="shared" si="105"/>
        <v>0</v>
      </c>
      <c r="T219" s="7">
        <f>I219-S219</f>
        <v>150000000</v>
      </c>
      <c r="U219" s="5">
        <f>+I219-T219</f>
        <v>0</v>
      </c>
      <c r="V219" s="5">
        <v>0</v>
      </c>
      <c r="Y219" s="300"/>
    </row>
    <row r="220" spans="1:25" s="98" customFormat="1" ht="11.25">
      <c r="A220" s="103"/>
      <c r="B220" s="100"/>
      <c r="C220" s="100">
        <v>530</v>
      </c>
      <c r="D220" s="2" t="s">
        <v>77</v>
      </c>
      <c r="E220" s="2" t="s">
        <v>58</v>
      </c>
      <c r="F220" s="103" t="s">
        <v>75</v>
      </c>
      <c r="G220" s="5">
        <v>0</v>
      </c>
      <c r="H220" s="5">
        <v>0</v>
      </c>
      <c r="I220" s="5">
        <f>G220+H220</f>
        <v>0</v>
      </c>
      <c r="J220" s="5">
        <v>0</v>
      </c>
      <c r="K220" s="5">
        <v>0</v>
      </c>
      <c r="L220" s="5">
        <v>0</v>
      </c>
      <c r="M220" s="5">
        <v>0</v>
      </c>
      <c r="N220" s="5">
        <f t="shared" si="104"/>
        <v>0</v>
      </c>
      <c r="O220" s="5">
        <v>0</v>
      </c>
      <c r="P220" s="5">
        <v>0</v>
      </c>
      <c r="Q220" s="5"/>
      <c r="R220" s="5"/>
      <c r="S220" s="5">
        <f t="shared" si="105"/>
        <v>0</v>
      </c>
      <c r="T220" s="7">
        <f>I220-S220</f>
        <v>0</v>
      </c>
      <c r="U220" s="5">
        <f>+I220-T220</f>
        <v>0</v>
      </c>
      <c r="V220" s="5">
        <v>0</v>
      </c>
      <c r="Y220" s="300"/>
    </row>
    <row r="221" spans="1:25" s="98" customFormat="1" ht="11.25">
      <c r="A221" s="103"/>
      <c r="B221" s="100"/>
      <c r="C221" s="100">
        <v>530</v>
      </c>
      <c r="D221" s="2" t="s">
        <v>77</v>
      </c>
      <c r="E221" s="2" t="s">
        <v>33</v>
      </c>
      <c r="F221" s="103" t="s">
        <v>75</v>
      </c>
      <c r="G221" s="5">
        <v>0</v>
      </c>
      <c r="H221" s="5">
        <v>0</v>
      </c>
      <c r="I221" s="5">
        <f>G221+H221</f>
        <v>0</v>
      </c>
      <c r="J221" s="5">
        <v>0</v>
      </c>
      <c r="K221" s="5">
        <v>0</v>
      </c>
      <c r="L221" s="5">
        <v>0</v>
      </c>
      <c r="M221" s="5">
        <v>0</v>
      </c>
      <c r="N221" s="5">
        <f t="shared" si="104"/>
        <v>0</v>
      </c>
      <c r="O221" s="5">
        <v>0</v>
      </c>
      <c r="P221" s="5">
        <v>0</v>
      </c>
      <c r="Q221" s="5"/>
      <c r="R221" s="5"/>
      <c r="S221" s="5">
        <f t="shared" si="105"/>
        <v>0</v>
      </c>
      <c r="T221" s="7">
        <f>I221-S221</f>
        <v>0</v>
      </c>
      <c r="U221" s="5">
        <f>+I221-T221</f>
        <v>0</v>
      </c>
      <c r="V221" s="5">
        <v>0</v>
      </c>
      <c r="Y221" s="300"/>
    </row>
    <row r="222" spans="1:25" s="98" customFormat="1" ht="11.25">
      <c r="A222" s="103"/>
      <c r="B222" s="100"/>
      <c r="C222" s="2" t="s">
        <v>76</v>
      </c>
      <c r="D222" s="2" t="s">
        <v>77</v>
      </c>
      <c r="E222" s="2" t="s">
        <v>21</v>
      </c>
      <c r="F222" s="103" t="s">
        <v>75</v>
      </c>
      <c r="G222" s="5">
        <v>0</v>
      </c>
      <c r="H222" s="5">
        <v>0</v>
      </c>
      <c r="I222" s="5">
        <f>G222+H222</f>
        <v>0</v>
      </c>
      <c r="J222" s="5">
        <v>0</v>
      </c>
      <c r="K222" s="5">
        <v>0</v>
      </c>
      <c r="L222" s="5">
        <v>0</v>
      </c>
      <c r="M222" s="5">
        <v>0</v>
      </c>
      <c r="N222" s="5">
        <f t="shared" si="104"/>
        <v>0</v>
      </c>
      <c r="O222" s="5">
        <v>0</v>
      </c>
      <c r="P222" s="5">
        <v>0</v>
      </c>
      <c r="Q222" s="5"/>
      <c r="R222" s="5"/>
      <c r="S222" s="5">
        <f t="shared" si="105"/>
        <v>0</v>
      </c>
      <c r="T222" s="7">
        <f>I222-S222</f>
        <v>0</v>
      </c>
      <c r="U222" s="5">
        <f>+I222-T222</f>
        <v>0</v>
      </c>
      <c r="V222" s="5">
        <v>0</v>
      </c>
      <c r="Y222" s="300"/>
    </row>
    <row r="223" spans="1:25" s="83" customFormat="1" ht="7.5" customHeight="1">
      <c r="A223" s="104"/>
      <c r="B223" s="17"/>
      <c r="C223" s="17"/>
      <c r="D223" s="17"/>
      <c r="E223" s="17"/>
      <c r="F223" s="104"/>
      <c r="G223" s="5"/>
      <c r="H223" s="5"/>
      <c r="I223" s="5"/>
      <c r="J223" s="5"/>
      <c r="K223" s="5"/>
      <c r="L223" s="5"/>
      <c r="M223" s="5"/>
      <c r="N223" s="5">
        <f t="shared" si="104"/>
        <v>0</v>
      </c>
      <c r="O223" s="5"/>
      <c r="P223" s="5"/>
      <c r="Q223" s="5"/>
      <c r="R223" s="5"/>
      <c r="S223" s="5">
        <f t="shared" si="105"/>
        <v>0</v>
      </c>
      <c r="T223" s="7"/>
      <c r="U223" s="5"/>
      <c r="V223" s="5"/>
      <c r="Y223" s="300"/>
    </row>
    <row r="224" spans="1:25" s="98" customFormat="1" ht="20.25">
      <c r="A224" s="43"/>
      <c r="B224" s="43">
        <v>540</v>
      </c>
      <c r="C224" s="43"/>
      <c r="D224" s="1"/>
      <c r="E224" s="1"/>
      <c r="F224" s="114" t="s">
        <v>78</v>
      </c>
      <c r="G224" s="107">
        <f aca="true" t="shared" si="108" ref="G224:U224">SUM(G225:G229)</f>
        <v>21117072</v>
      </c>
      <c r="H224" s="107">
        <f t="shared" si="108"/>
        <v>0</v>
      </c>
      <c r="I224" s="107">
        <f t="shared" si="108"/>
        <v>21117072</v>
      </c>
      <c r="J224" s="107">
        <f t="shared" si="108"/>
        <v>0</v>
      </c>
      <c r="K224" s="107">
        <f t="shared" si="108"/>
        <v>0</v>
      </c>
      <c r="L224" s="107">
        <f t="shared" si="108"/>
        <v>0</v>
      </c>
      <c r="M224" s="107">
        <f t="shared" si="108"/>
        <v>0</v>
      </c>
      <c r="N224" s="107">
        <f t="shared" si="108"/>
        <v>0</v>
      </c>
      <c r="O224" s="107">
        <f t="shared" si="108"/>
        <v>0</v>
      </c>
      <c r="P224" s="107">
        <f t="shared" si="108"/>
        <v>0</v>
      </c>
      <c r="Q224" s="107">
        <f t="shared" si="108"/>
        <v>0</v>
      </c>
      <c r="R224" s="107">
        <f t="shared" si="108"/>
        <v>0</v>
      </c>
      <c r="S224" s="107">
        <f t="shared" si="108"/>
        <v>0</v>
      </c>
      <c r="T224" s="107">
        <f t="shared" si="108"/>
        <v>21117072</v>
      </c>
      <c r="U224" s="107">
        <f t="shared" si="108"/>
        <v>0</v>
      </c>
      <c r="V224" s="107">
        <f>SUM(V225:V229)</f>
        <v>0</v>
      </c>
      <c r="Y224" s="300"/>
    </row>
    <row r="225" spans="1:25" s="98" customFormat="1" ht="11.25">
      <c r="A225" s="103"/>
      <c r="B225" s="100"/>
      <c r="C225" s="100">
        <v>540</v>
      </c>
      <c r="D225" s="2" t="s">
        <v>77</v>
      </c>
      <c r="E225" s="2" t="s">
        <v>32</v>
      </c>
      <c r="F225" s="103" t="s">
        <v>78</v>
      </c>
      <c r="G225" s="5">
        <v>21117072</v>
      </c>
      <c r="H225" s="5">
        <v>0</v>
      </c>
      <c r="I225" s="5">
        <f>G225+H225</f>
        <v>21117072</v>
      </c>
      <c r="J225" s="5">
        <v>0</v>
      </c>
      <c r="K225" s="5">
        <v>0</v>
      </c>
      <c r="L225" s="5">
        <v>0</v>
      </c>
      <c r="M225" s="5">
        <v>0</v>
      </c>
      <c r="N225" s="5">
        <f t="shared" si="104"/>
        <v>0</v>
      </c>
      <c r="O225" s="5">
        <v>0</v>
      </c>
      <c r="P225" s="5">
        <v>0</v>
      </c>
      <c r="Q225" s="5"/>
      <c r="R225" s="5"/>
      <c r="S225" s="5">
        <f t="shared" si="105"/>
        <v>0</v>
      </c>
      <c r="T225" s="7">
        <f>I225-S225</f>
        <v>21117072</v>
      </c>
      <c r="U225" s="5">
        <f>+S225</f>
        <v>0</v>
      </c>
      <c r="V225" s="5">
        <v>0</v>
      </c>
      <c r="Y225" s="300"/>
    </row>
    <row r="226" spans="1:25" s="98" customFormat="1" ht="11.25">
      <c r="A226" s="103"/>
      <c r="B226" s="100"/>
      <c r="C226" s="100">
        <v>540</v>
      </c>
      <c r="D226" s="2" t="s">
        <v>77</v>
      </c>
      <c r="E226" s="2" t="s">
        <v>58</v>
      </c>
      <c r="F226" s="103" t="s">
        <v>78</v>
      </c>
      <c r="G226" s="5">
        <v>0</v>
      </c>
      <c r="H226" s="5">
        <v>0</v>
      </c>
      <c r="I226" s="5">
        <f>G226+H226</f>
        <v>0</v>
      </c>
      <c r="J226" s="5">
        <v>0</v>
      </c>
      <c r="K226" s="5">
        <v>0</v>
      </c>
      <c r="L226" s="5">
        <v>0</v>
      </c>
      <c r="M226" s="5">
        <v>0</v>
      </c>
      <c r="N226" s="5">
        <f t="shared" si="104"/>
        <v>0</v>
      </c>
      <c r="O226" s="5">
        <v>0</v>
      </c>
      <c r="P226" s="5">
        <v>0</v>
      </c>
      <c r="Q226" s="5"/>
      <c r="R226" s="5"/>
      <c r="S226" s="5">
        <f t="shared" si="105"/>
        <v>0</v>
      </c>
      <c r="T226" s="7">
        <f>I226-S226</f>
        <v>0</v>
      </c>
      <c r="U226" s="5">
        <f>+S226</f>
        <v>0</v>
      </c>
      <c r="V226" s="5">
        <v>0</v>
      </c>
      <c r="Y226" s="300"/>
    </row>
    <row r="227" spans="1:25" s="98" customFormat="1" ht="11.25">
      <c r="A227" s="103"/>
      <c r="B227" s="100"/>
      <c r="C227" s="100">
        <v>540</v>
      </c>
      <c r="D227" s="2" t="s">
        <v>77</v>
      </c>
      <c r="E227" s="2" t="s">
        <v>55</v>
      </c>
      <c r="F227" s="103" t="s">
        <v>78</v>
      </c>
      <c r="G227" s="5">
        <v>0</v>
      </c>
      <c r="H227" s="5">
        <v>0</v>
      </c>
      <c r="I227" s="5">
        <f>G227+H227</f>
        <v>0</v>
      </c>
      <c r="J227" s="5">
        <v>0</v>
      </c>
      <c r="K227" s="5">
        <v>0</v>
      </c>
      <c r="L227" s="5">
        <v>0</v>
      </c>
      <c r="M227" s="5">
        <v>0</v>
      </c>
      <c r="N227" s="5">
        <f t="shared" si="104"/>
        <v>0</v>
      </c>
      <c r="O227" s="5">
        <v>0</v>
      </c>
      <c r="P227" s="5">
        <v>0</v>
      </c>
      <c r="Q227" s="5"/>
      <c r="R227" s="5"/>
      <c r="S227" s="5">
        <f t="shared" si="105"/>
        <v>0</v>
      </c>
      <c r="T227" s="7">
        <f>I227-S227</f>
        <v>0</v>
      </c>
      <c r="U227" s="5">
        <f>+S227</f>
        <v>0</v>
      </c>
      <c r="V227" s="5">
        <v>0</v>
      </c>
      <c r="Y227" s="300"/>
    </row>
    <row r="228" spans="1:25" s="98" customFormat="1" ht="11.25">
      <c r="A228" s="103"/>
      <c r="B228" s="100"/>
      <c r="C228" s="100">
        <v>540</v>
      </c>
      <c r="D228" s="2" t="s">
        <v>77</v>
      </c>
      <c r="E228" s="2" t="s">
        <v>21</v>
      </c>
      <c r="F228" s="103" t="s">
        <v>78</v>
      </c>
      <c r="G228" s="5">
        <v>0</v>
      </c>
      <c r="H228" s="5">
        <v>0</v>
      </c>
      <c r="I228" s="5">
        <f>G228+H228</f>
        <v>0</v>
      </c>
      <c r="J228" s="5">
        <v>0</v>
      </c>
      <c r="K228" s="5">
        <v>0</v>
      </c>
      <c r="L228" s="5">
        <v>0</v>
      </c>
      <c r="M228" s="5">
        <v>0</v>
      </c>
      <c r="N228" s="5">
        <f t="shared" si="104"/>
        <v>0</v>
      </c>
      <c r="O228" s="5">
        <v>0</v>
      </c>
      <c r="P228" s="5">
        <v>0</v>
      </c>
      <c r="Q228" s="5"/>
      <c r="R228" s="5"/>
      <c r="S228" s="5">
        <f t="shared" si="105"/>
        <v>0</v>
      </c>
      <c r="T228" s="7">
        <f>I228-S228</f>
        <v>0</v>
      </c>
      <c r="U228" s="5">
        <f>+S228</f>
        <v>0</v>
      </c>
      <c r="V228" s="5">
        <v>0</v>
      </c>
      <c r="Y228" s="300"/>
    </row>
    <row r="229" spans="1:25" s="83" customFormat="1" ht="7.5" customHeight="1">
      <c r="A229" s="104"/>
      <c r="B229" s="101"/>
      <c r="C229" s="101"/>
      <c r="D229" s="17"/>
      <c r="E229" s="17"/>
      <c r="F229" s="104"/>
      <c r="G229" s="5"/>
      <c r="H229" s="5"/>
      <c r="I229" s="5"/>
      <c r="J229" s="5"/>
      <c r="K229" s="5"/>
      <c r="L229" s="5"/>
      <c r="M229" s="5"/>
      <c r="N229" s="5">
        <f t="shared" si="104"/>
        <v>0</v>
      </c>
      <c r="O229" s="5"/>
      <c r="P229" s="5"/>
      <c r="Q229" s="5"/>
      <c r="R229" s="5"/>
      <c r="S229" s="5">
        <f t="shared" si="105"/>
        <v>0</v>
      </c>
      <c r="T229" s="7"/>
      <c r="U229" s="5"/>
      <c r="V229" s="5"/>
      <c r="Y229" s="300"/>
    </row>
    <row r="230" spans="1:25" s="98" customFormat="1" ht="11.25">
      <c r="A230" s="102"/>
      <c r="B230" s="43">
        <v>570</v>
      </c>
      <c r="C230" s="43"/>
      <c r="D230" s="1"/>
      <c r="E230" s="1"/>
      <c r="F230" s="102" t="s">
        <v>220</v>
      </c>
      <c r="G230" s="3">
        <f aca="true" t="shared" si="109" ref="G230:M230">SUM(G231:G233)</f>
        <v>0</v>
      </c>
      <c r="H230" s="3">
        <f t="shared" si="109"/>
        <v>0</v>
      </c>
      <c r="I230" s="3">
        <f t="shared" si="109"/>
        <v>0</v>
      </c>
      <c r="J230" s="3">
        <f t="shared" si="109"/>
        <v>0</v>
      </c>
      <c r="K230" s="3">
        <f t="shared" si="109"/>
        <v>0</v>
      </c>
      <c r="L230" s="3">
        <f t="shared" si="109"/>
        <v>0</v>
      </c>
      <c r="M230" s="3">
        <f t="shared" si="109"/>
        <v>0</v>
      </c>
      <c r="N230" s="3">
        <f t="shared" si="104"/>
        <v>0</v>
      </c>
      <c r="O230" s="3">
        <f>SUM(O231:O233)</f>
        <v>0</v>
      </c>
      <c r="P230" s="3">
        <f>SUM(P231:P233)</f>
        <v>0</v>
      </c>
      <c r="Q230" s="3"/>
      <c r="R230" s="3"/>
      <c r="S230" s="3">
        <f t="shared" si="105"/>
        <v>0</v>
      </c>
      <c r="T230" s="6">
        <f>SUM(T231:T233)</f>
        <v>0</v>
      </c>
      <c r="U230" s="5">
        <f>+S230</f>
        <v>0</v>
      </c>
      <c r="V230" s="3">
        <f>SUM(V231:V233)</f>
        <v>0</v>
      </c>
      <c r="Y230" s="300"/>
    </row>
    <row r="231" spans="1:25" s="98" customFormat="1" ht="11.25">
      <c r="A231" s="103"/>
      <c r="B231" s="100"/>
      <c r="C231" s="100">
        <v>570</v>
      </c>
      <c r="D231" s="2" t="s">
        <v>77</v>
      </c>
      <c r="E231" s="2" t="s">
        <v>32</v>
      </c>
      <c r="F231" s="103" t="s">
        <v>220</v>
      </c>
      <c r="G231" s="5">
        <v>0</v>
      </c>
      <c r="H231" s="5">
        <v>0</v>
      </c>
      <c r="I231" s="5">
        <f>G231+H231</f>
        <v>0</v>
      </c>
      <c r="J231" s="5">
        <v>0</v>
      </c>
      <c r="K231" s="5">
        <v>0</v>
      </c>
      <c r="L231" s="5">
        <v>0</v>
      </c>
      <c r="M231" s="5">
        <v>0</v>
      </c>
      <c r="N231" s="5">
        <f t="shared" si="104"/>
        <v>0</v>
      </c>
      <c r="O231" s="5">
        <v>0</v>
      </c>
      <c r="P231" s="5">
        <v>0</v>
      </c>
      <c r="Q231" s="5"/>
      <c r="R231" s="5"/>
      <c r="S231" s="5">
        <f t="shared" si="105"/>
        <v>0</v>
      </c>
      <c r="T231" s="7">
        <f>I231-S231</f>
        <v>0</v>
      </c>
      <c r="U231" s="5">
        <f>+S231</f>
        <v>0</v>
      </c>
      <c r="V231" s="5">
        <v>0</v>
      </c>
      <c r="Y231" s="300"/>
    </row>
    <row r="232" spans="1:25" s="98" customFormat="1" ht="11.25">
      <c r="A232" s="103"/>
      <c r="B232" s="100"/>
      <c r="C232" s="100">
        <v>570</v>
      </c>
      <c r="D232" s="2" t="s">
        <v>77</v>
      </c>
      <c r="E232" s="2" t="s">
        <v>21</v>
      </c>
      <c r="F232" s="103" t="s">
        <v>220</v>
      </c>
      <c r="G232" s="5">
        <v>0</v>
      </c>
      <c r="H232" s="5">
        <v>0</v>
      </c>
      <c r="I232" s="5">
        <f>G232+H232</f>
        <v>0</v>
      </c>
      <c r="J232" s="5">
        <v>0</v>
      </c>
      <c r="K232" s="5">
        <v>0</v>
      </c>
      <c r="L232" s="5">
        <v>0</v>
      </c>
      <c r="M232" s="5">
        <v>0</v>
      </c>
      <c r="N232" s="5">
        <f t="shared" si="104"/>
        <v>0</v>
      </c>
      <c r="O232" s="5">
        <v>0</v>
      </c>
      <c r="P232" s="5">
        <v>0</v>
      </c>
      <c r="Q232" s="5"/>
      <c r="R232" s="5"/>
      <c r="S232" s="5">
        <f t="shared" si="105"/>
        <v>0</v>
      </c>
      <c r="T232" s="7">
        <f>I232-S232</f>
        <v>0</v>
      </c>
      <c r="U232" s="5">
        <f>+S232</f>
        <v>0</v>
      </c>
      <c r="V232" s="5">
        <v>0</v>
      </c>
      <c r="Y232" s="300"/>
    </row>
    <row r="233" spans="1:25" s="83" customFormat="1" ht="7.5" customHeight="1">
      <c r="A233" s="104"/>
      <c r="B233" s="101"/>
      <c r="C233" s="101"/>
      <c r="D233" s="17"/>
      <c r="E233" s="17"/>
      <c r="F233" s="104"/>
      <c r="G233" s="5"/>
      <c r="H233" s="5"/>
      <c r="I233" s="5"/>
      <c r="J233" s="5"/>
      <c r="K233" s="5"/>
      <c r="L233" s="5"/>
      <c r="M233" s="5"/>
      <c r="N233" s="5">
        <f t="shared" si="104"/>
        <v>0</v>
      </c>
      <c r="O233" s="5"/>
      <c r="P233" s="5"/>
      <c r="Q233" s="5"/>
      <c r="R233" s="5"/>
      <c r="S233" s="5">
        <f t="shared" si="105"/>
        <v>0</v>
      </c>
      <c r="T233" s="7"/>
      <c r="U233" s="5"/>
      <c r="V233" s="5"/>
      <c r="Y233" s="300"/>
    </row>
    <row r="234" spans="1:25" s="98" customFormat="1" ht="11.25">
      <c r="A234" s="102"/>
      <c r="B234" s="43">
        <v>580</v>
      </c>
      <c r="C234" s="43"/>
      <c r="D234" s="1"/>
      <c r="E234" s="1"/>
      <c r="F234" s="102" t="s">
        <v>79</v>
      </c>
      <c r="G234" s="3">
        <f aca="true" t="shared" si="110" ref="G234:M234">G235</f>
        <v>54548248</v>
      </c>
      <c r="H234" s="3">
        <f t="shared" si="110"/>
        <v>0</v>
      </c>
      <c r="I234" s="3">
        <f t="shared" si="110"/>
        <v>54548248</v>
      </c>
      <c r="J234" s="3">
        <f t="shared" si="110"/>
        <v>0</v>
      </c>
      <c r="K234" s="3">
        <f t="shared" si="110"/>
        <v>0</v>
      </c>
      <c r="L234" s="3">
        <f t="shared" si="110"/>
        <v>0</v>
      </c>
      <c r="M234" s="3">
        <f t="shared" si="110"/>
        <v>0</v>
      </c>
      <c r="N234" s="3">
        <f t="shared" si="104"/>
        <v>0</v>
      </c>
      <c r="O234" s="3">
        <f aca="true" t="shared" si="111" ref="O234:V234">O235</f>
        <v>0</v>
      </c>
      <c r="P234" s="3">
        <f t="shared" si="111"/>
        <v>0</v>
      </c>
      <c r="Q234" s="3"/>
      <c r="R234" s="3"/>
      <c r="S234" s="3">
        <f t="shared" si="105"/>
        <v>0</v>
      </c>
      <c r="T234" s="6">
        <f t="shared" si="111"/>
        <v>54548248</v>
      </c>
      <c r="U234" s="3">
        <f t="shared" si="111"/>
        <v>0</v>
      </c>
      <c r="V234" s="3">
        <f t="shared" si="111"/>
        <v>0</v>
      </c>
      <c r="Y234" s="300"/>
    </row>
    <row r="235" spans="1:25" s="98" customFormat="1" ht="11.25">
      <c r="A235" s="103"/>
      <c r="B235" s="100"/>
      <c r="C235" s="100">
        <v>580</v>
      </c>
      <c r="D235" s="2" t="s">
        <v>77</v>
      </c>
      <c r="E235" s="2" t="s">
        <v>32</v>
      </c>
      <c r="F235" s="103" t="s">
        <v>79</v>
      </c>
      <c r="G235" s="5">
        <v>54548248</v>
      </c>
      <c r="H235" s="5">
        <v>0</v>
      </c>
      <c r="I235" s="5">
        <f>G235+H235</f>
        <v>54548248</v>
      </c>
      <c r="J235" s="5">
        <v>0</v>
      </c>
      <c r="K235" s="5">
        <v>0</v>
      </c>
      <c r="L235" s="5">
        <v>0</v>
      </c>
      <c r="M235" s="5">
        <v>0</v>
      </c>
      <c r="N235" s="5">
        <f t="shared" si="104"/>
        <v>0</v>
      </c>
      <c r="O235" s="5">
        <v>0</v>
      </c>
      <c r="P235" s="5">
        <v>0</v>
      </c>
      <c r="Q235" s="5"/>
      <c r="R235" s="5"/>
      <c r="S235" s="5">
        <f t="shared" si="105"/>
        <v>0</v>
      </c>
      <c r="T235" s="7">
        <f>I235-S235</f>
        <v>54548248</v>
      </c>
      <c r="U235" s="5">
        <v>0</v>
      </c>
      <c r="V235" s="5">
        <v>0</v>
      </c>
      <c r="Y235" s="300"/>
    </row>
    <row r="236" spans="1:25" s="83" customFormat="1" ht="7.5" customHeight="1">
      <c r="A236" s="104"/>
      <c r="B236" s="101"/>
      <c r="C236" s="101"/>
      <c r="D236" s="17"/>
      <c r="E236" s="17"/>
      <c r="F236" s="104"/>
      <c r="G236" s="5"/>
      <c r="H236" s="5"/>
      <c r="I236" s="5"/>
      <c r="J236" s="5"/>
      <c r="K236" s="5"/>
      <c r="L236" s="5"/>
      <c r="M236" s="5"/>
      <c r="N236" s="5">
        <f t="shared" si="104"/>
        <v>0</v>
      </c>
      <c r="O236" s="5"/>
      <c r="P236" s="5"/>
      <c r="Q236" s="5"/>
      <c r="R236" s="5"/>
      <c r="S236" s="5">
        <f t="shared" si="105"/>
        <v>0</v>
      </c>
      <c r="T236" s="7"/>
      <c r="U236" s="5"/>
      <c r="V236" s="5"/>
      <c r="Y236" s="300"/>
    </row>
    <row r="237" spans="1:25" s="98" customFormat="1" ht="11.25">
      <c r="A237" s="102"/>
      <c r="B237" s="43">
        <v>590</v>
      </c>
      <c r="C237" s="43"/>
      <c r="D237" s="1"/>
      <c r="E237" s="1"/>
      <c r="F237" s="102" t="s">
        <v>80</v>
      </c>
      <c r="G237" s="3">
        <f aca="true" t="shared" si="112" ref="G237:M237">SUM(G238:G239)</f>
        <v>0</v>
      </c>
      <c r="H237" s="3">
        <f t="shared" si="112"/>
        <v>0</v>
      </c>
      <c r="I237" s="3">
        <f t="shared" si="112"/>
        <v>0</v>
      </c>
      <c r="J237" s="3">
        <f t="shared" si="112"/>
        <v>0</v>
      </c>
      <c r="K237" s="3">
        <f t="shared" si="112"/>
        <v>0</v>
      </c>
      <c r="L237" s="3">
        <f t="shared" si="112"/>
        <v>0</v>
      </c>
      <c r="M237" s="3">
        <f t="shared" si="112"/>
        <v>0</v>
      </c>
      <c r="N237" s="3">
        <f t="shared" si="104"/>
        <v>0</v>
      </c>
      <c r="O237" s="3">
        <f aca="true" t="shared" si="113" ref="O237:V237">SUM(O238:O239)</f>
        <v>0</v>
      </c>
      <c r="P237" s="3">
        <f t="shared" si="113"/>
        <v>0</v>
      </c>
      <c r="Q237" s="3"/>
      <c r="R237" s="3"/>
      <c r="S237" s="3">
        <f t="shared" si="105"/>
        <v>0</v>
      </c>
      <c r="T237" s="6">
        <f t="shared" si="113"/>
        <v>0</v>
      </c>
      <c r="U237" s="3">
        <f t="shared" si="113"/>
        <v>0</v>
      </c>
      <c r="V237" s="3">
        <f t="shared" si="113"/>
        <v>0</v>
      </c>
      <c r="Y237" s="300"/>
    </row>
    <row r="238" spans="1:25" s="98" customFormat="1" ht="11.25">
      <c r="A238" s="103"/>
      <c r="B238" s="100"/>
      <c r="C238" s="100">
        <v>590</v>
      </c>
      <c r="D238" s="2" t="s">
        <v>77</v>
      </c>
      <c r="E238" s="2" t="s">
        <v>32</v>
      </c>
      <c r="F238" s="103" t="s">
        <v>81</v>
      </c>
      <c r="G238" s="5">
        <v>0</v>
      </c>
      <c r="H238" s="5">
        <v>0</v>
      </c>
      <c r="I238" s="5">
        <f>G238+H238</f>
        <v>0</v>
      </c>
      <c r="J238" s="5">
        <v>0</v>
      </c>
      <c r="K238" s="5">
        <v>0</v>
      </c>
      <c r="L238" s="5">
        <v>0</v>
      </c>
      <c r="M238" s="5">
        <v>0</v>
      </c>
      <c r="N238" s="5">
        <f t="shared" si="104"/>
        <v>0</v>
      </c>
      <c r="O238" s="5">
        <v>0</v>
      </c>
      <c r="P238" s="5">
        <v>0</v>
      </c>
      <c r="Q238" s="5"/>
      <c r="R238" s="5"/>
      <c r="S238" s="5">
        <f t="shared" si="105"/>
        <v>0</v>
      </c>
      <c r="T238" s="7">
        <v>0</v>
      </c>
      <c r="U238" s="5">
        <v>0</v>
      </c>
      <c r="V238" s="5">
        <v>0</v>
      </c>
      <c r="Y238" s="300"/>
    </row>
    <row r="239" spans="1:25" s="98" customFormat="1" ht="11.25">
      <c r="A239" s="103"/>
      <c r="B239" s="100"/>
      <c r="C239" s="100">
        <v>590</v>
      </c>
      <c r="D239" s="2" t="s">
        <v>77</v>
      </c>
      <c r="E239" s="2" t="s">
        <v>21</v>
      </c>
      <c r="F239" s="103" t="s">
        <v>81</v>
      </c>
      <c r="G239" s="5">
        <v>0</v>
      </c>
      <c r="H239" s="5">
        <v>0</v>
      </c>
      <c r="I239" s="5">
        <f>G239+H239</f>
        <v>0</v>
      </c>
      <c r="J239" s="5">
        <v>0</v>
      </c>
      <c r="K239" s="5">
        <v>0</v>
      </c>
      <c r="L239" s="5">
        <v>0</v>
      </c>
      <c r="M239" s="5">
        <v>0</v>
      </c>
      <c r="N239" s="5">
        <f t="shared" si="104"/>
        <v>0</v>
      </c>
      <c r="O239" s="5">
        <v>0</v>
      </c>
      <c r="P239" s="5">
        <v>0</v>
      </c>
      <c r="Q239" s="5"/>
      <c r="R239" s="5"/>
      <c r="S239" s="5">
        <f t="shared" si="105"/>
        <v>0</v>
      </c>
      <c r="T239" s="7">
        <v>0</v>
      </c>
      <c r="U239" s="5">
        <v>0</v>
      </c>
      <c r="V239" s="5">
        <v>0</v>
      </c>
      <c r="Y239" s="300"/>
    </row>
    <row r="240" spans="1:25" s="83" customFormat="1" ht="11.25">
      <c r="A240" s="104"/>
      <c r="B240" s="101"/>
      <c r="C240" s="101"/>
      <c r="D240" s="17"/>
      <c r="E240" s="17"/>
      <c r="F240" s="104"/>
      <c r="G240" s="5"/>
      <c r="H240" s="5"/>
      <c r="I240" s="5"/>
      <c r="J240" s="5"/>
      <c r="K240" s="5"/>
      <c r="L240" s="5"/>
      <c r="M240" s="5"/>
      <c r="N240" s="5">
        <f t="shared" si="104"/>
        <v>0</v>
      </c>
      <c r="O240" s="5"/>
      <c r="P240" s="5"/>
      <c r="Q240" s="5"/>
      <c r="R240" s="5"/>
      <c r="S240" s="5">
        <f t="shared" si="105"/>
        <v>0</v>
      </c>
      <c r="T240" s="7"/>
      <c r="U240" s="5"/>
      <c r="V240" s="5"/>
      <c r="Y240" s="300"/>
    </row>
    <row r="241" spans="1:25" s="98" customFormat="1" ht="11.25">
      <c r="A241" s="43">
        <v>700</v>
      </c>
      <c r="B241" s="100"/>
      <c r="C241" s="100"/>
      <c r="D241" s="2"/>
      <c r="E241" s="2"/>
      <c r="F241" s="102" t="s">
        <v>218</v>
      </c>
      <c r="G241" s="3">
        <f aca="true" t="shared" si="114" ref="G241:M241">G242</f>
        <v>0</v>
      </c>
      <c r="H241" s="3">
        <f t="shared" si="114"/>
        <v>0</v>
      </c>
      <c r="I241" s="3">
        <f t="shared" si="114"/>
        <v>0</v>
      </c>
      <c r="J241" s="3">
        <f t="shared" si="114"/>
        <v>0</v>
      </c>
      <c r="K241" s="3">
        <f t="shared" si="114"/>
        <v>0</v>
      </c>
      <c r="L241" s="3">
        <f t="shared" si="114"/>
        <v>0</v>
      </c>
      <c r="M241" s="3">
        <f t="shared" si="114"/>
        <v>0</v>
      </c>
      <c r="N241" s="3">
        <f t="shared" si="104"/>
        <v>0</v>
      </c>
      <c r="O241" s="3">
        <f aca="true" t="shared" si="115" ref="O241:P243">O242</f>
        <v>0</v>
      </c>
      <c r="P241" s="3">
        <f t="shared" si="115"/>
        <v>0</v>
      </c>
      <c r="Q241" s="3"/>
      <c r="R241" s="3"/>
      <c r="S241" s="3">
        <f t="shared" si="105"/>
        <v>0</v>
      </c>
      <c r="T241" s="6">
        <f aca="true" t="shared" si="116" ref="T241:V243">T242</f>
        <v>0</v>
      </c>
      <c r="U241" s="3">
        <f t="shared" si="116"/>
        <v>0</v>
      </c>
      <c r="V241" s="3">
        <f t="shared" si="116"/>
        <v>0</v>
      </c>
      <c r="Y241" s="300"/>
    </row>
    <row r="242" spans="1:25" s="98" customFormat="1" ht="11.25">
      <c r="A242" s="103"/>
      <c r="B242" s="43">
        <v>730</v>
      </c>
      <c r="C242" s="100"/>
      <c r="D242" s="2"/>
      <c r="E242" s="2"/>
      <c r="F242" s="102" t="s">
        <v>261</v>
      </c>
      <c r="G242" s="3">
        <f>G243</f>
        <v>0</v>
      </c>
      <c r="H242" s="3">
        <f aca="true" t="shared" si="117" ref="G242:I243">H243</f>
        <v>0</v>
      </c>
      <c r="I242" s="3">
        <f t="shared" si="117"/>
        <v>0</v>
      </c>
      <c r="J242" s="3">
        <f aca="true" t="shared" si="118" ref="J242:M243">J243</f>
        <v>0</v>
      </c>
      <c r="K242" s="3">
        <f t="shared" si="118"/>
        <v>0</v>
      </c>
      <c r="L242" s="3">
        <f t="shared" si="118"/>
        <v>0</v>
      </c>
      <c r="M242" s="3">
        <f t="shared" si="118"/>
        <v>0</v>
      </c>
      <c r="N242" s="3">
        <f t="shared" si="104"/>
        <v>0</v>
      </c>
      <c r="O242" s="3">
        <f t="shared" si="115"/>
        <v>0</v>
      </c>
      <c r="P242" s="3">
        <f t="shared" si="115"/>
        <v>0</v>
      </c>
      <c r="Q242" s="3"/>
      <c r="R242" s="3"/>
      <c r="S242" s="3">
        <f t="shared" si="105"/>
        <v>0</v>
      </c>
      <c r="T242" s="6">
        <f t="shared" si="116"/>
        <v>0</v>
      </c>
      <c r="U242" s="3">
        <f t="shared" si="116"/>
        <v>0</v>
      </c>
      <c r="V242" s="3">
        <f t="shared" si="116"/>
        <v>0</v>
      </c>
      <c r="Y242" s="300"/>
    </row>
    <row r="243" spans="1:25" s="98" customFormat="1" ht="20.25">
      <c r="A243" s="43"/>
      <c r="B243" s="43"/>
      <c r="C243" s="43">
        <v>733</v>
      </c>
      <c r="D243" s="1"/>
      <c r="E243" s="1"/>
      <c r="F243" s="114" t="s">
        <v>262</v>
      </c>
      <c r="G243" s="107">
        <f t="shared" si="117"/>
        <v>0</v>
      </c>
      <c r="H243" s="107">
        <f t="shared" si="117"/>
        <v>0</v>
      </c>
      <c r="I243" s="107">
        <f t="shared" si="117"/>
        <v>0</v>
      </c>
      <c r="J243" s="107">
        <f t="shared" si="118"/>
        <v>0</v>
      </c>
      <c r="K243" s="107">
        <f t="shared" si="118"/>
        <v>0</v>
      </c>
      <c r="L243" s="107">
        <f t="shared" si="118"/>
        <v>0</v>
      </c>
      <c r="M243" s="107">
        <f t="shared" si="118"/>
        <v>0</v>
      </c>
      <c r="N243" s="107">
        <f t="shared" si="104"/>
        <v>0</v>
      </c>
      <c r="O243" s="107">
        <f t="shared" si="115"/>
        <v>0</v>
      </c>
      <c r="P243" s="107">
        <f t="shared" si="115"/>
        <v>0</v>
      </c>
      <c r="Q243" s="107"/>
      <c r="R243" s="107"/>
      <c r="S243" s="107">
        <f t="shared" si="105"/>
        <v>0</v>
      </c>
      <c r="T243" s="140">
        <f t="shared" si="116"/>
        <v>0</v>
      </c>
      <c r="U243" s="107">
        <f t="shared" si="116"/>
        <v>0</v>
      </c>
      <c r="V243" s="107">
        <f t="shared" si="116"/>
        <v>0</v>
      </c>
      <c r="Y243" s="300"/>
    </row>
    <row r="244" spans="1:25" s="98" customFormat="1" ht="11.25">
      <c r="A244" s="100"/>
      <c r="B244" s="100"/>
      <c r="C244" s="100">
        <v>733</v>
      </c>
      <c r="D244" s="2" t="s">
        <v>77</v>
      </c>
      <c r="E244" s="2" t="s">
        <v>21</v>
      </c>
      <c r="F244" s="103" t="s">
        <v>262</v>
      </c>
      <c r="G244" s="5">
        <v>0</v>
      </c>
      <c r="H244" s="5">
        <v>0</v>
      </c>
      <c r="I244" s="5">
        <f>G244+H244</f>
        <v>0</v>
      </c>
      <c r="J244" s="5">
        <v>0</v>
      </c>
      <c r="K244" s="5">
        <v>0</v>
      </c>
      <c r="L244" s="5">
        <v>0</v>
      </c>
      <c r="M244" s="5">
        <v>0</v>
      </c>
      <c r="N244" s="5">
        <f t="shared" si="104"/>
        <v>0</v>
      </c>
      <c r="O244" s="5">
        <v>0</v>
      </c>
      <c r="P244" s="5">
        <v>0</v>
      </c>
      <c r="Q244" s="5"/>
      <c r="R244" s="5"/>
      <c r="S244" s="5">
        <f t="shared" si="105"/>
        <v>0</v>
      </c>
      <c r="T244" s="7">
        <v>0</v>
      </c>
      <c r="U244" s="5">
        <v>0</v>
      </c>
      <c r="V244" s="5">
        <v>0</v>
      </c>
      <c r="Y244" s="300"/>
    </row>
    <row r="245" spans="1:25" s="83" customFormat="1" ht="7.5" customHeight="1">
      <c r="A245" s="104"/>
      <c r="B245" s="101"/>
      <c r="C245" s="101"/>
      <c r="D245" s="17"/>
      <c r="E245" s="17"/>
      <c r="F245" s="104"/>
      <c r="G245" s="5"/>
      <c r="H245" s="5"/>
      <c r="I245" s="5"/>
      <c r="J245" s="5"/>
      <c r="K245" s="5"/>
      <c r="L245" s="5"/>
      <c r="M245" s="5"/>
      <c r="N245" s="5">
        <f t="shared" si="104"/>
        <v>0</v>
      </c>
      <c r="O245" s="5"/>
      <c r="P245" s="5"/>
      <c r="Q245" s="5"/>
      <c r="R245" s="5"/>
      <c r="S245" s="5">
        <f t="shared" si="105"/>
        <v>0</v>
      </c>
      <c r="T245" s="7"/>
      <c r="U245" s="5"/>
      <c r="V245" s="5"/>
      <c r="Y245" s="300"/>
    </row>
    <row r="246" spans="1:25" s="98" customFormat="1" ht="11.25">
      <c r="A246" s="43">
        <v>800</v>
      </c>
      <c r="B246" s="100"/>
      <c r="C246" s="100"/>
      <c r="D246" s="2"/>
      <c r="E246" s="2"/>
      <c r="F246" s="102" t="s">
        <v>82</v>
      </c>
      <c r="G246" s="3">
        <f>G247+G254</f>
        <v>20000000</v>
      </c>
      <c r="H246" s="3">
        <f>H247+H254</f>
        <v>0</v>
      </c>
      <c r="I246" s="3">
        <f>I247+I254</f>
        <v>20000000</v>
      </c>
      <c r="J246" s="3">
        <f aca="true" t="shared" si="119" ref="J246:T246">J247+J254</f>
        <v>0</v>
      </c>
      <c r="K246" s="3">
        <f t="shared" si="119"/>
        <v>0</v>
      </c>
      <c r="L246" s="3">
        <f t="shared" si="119"/>
        <v>0</v>
      </c>
      <c r="M246" s="3">
        <f t="shared" si="119"/>
        <v>0</v>
      </c>
      <c r="N246" s="3">
        <f t="shared" si="119"/>
        <v>0</v>
      </c>
      <c r="O246" s="3">
        <f t="shared" si="119"/>
        <v>0</v>
      </c>
      <c r="P246" s="3">
        <f t="shared" si="119"/>
        <v>0</v>
      </c>
      <c r="Q246" s="3">
        <f t="shared" si="119"/>
        <v>0</v>
      </c>
      <c r="R246" s="3">
        <f t="shared" si="119"/>
        <v>0</v>
      </c>
      <c r="S246" s="3">
        <f t="shared" si="119"/>
        <v>0</v>
      </c>
      <c r="T246" s="3">
        <f t="shared" si="119"/>
        <v>20000000</v>
      </c>
      <c r="U246" s="3">
        <f>U247+U254</f>
        <v>0</v>
      </c>
      <c r="V246" s="3">
        <f>V247+V254</f>
        <v>0</v>
      </c>
      <c r="Y246" s="300"/>
    </row>
    <row r="247" spans="1:25" s="98" customFormat="1" ht="20.25">
      <c r="A247" s="103"/>
      <c r="B247" s="43">
        <v>870</v>
      </c>
      <c r="C247" s="100"/>
      <c r="D247" s="2"/>
      <c r="E247" s="2"/>
      <c r="F247" s="114" t="s">
        <v>51</v>
      </c>
      <c r="G247" s="107">
        <f>G248</f>
        <v>20000000</v>
      </c>
      <c r="H247" s="107">
        <f>H248</f>
        <v>0</v>
      </c>
      <c r="I247" s="107">
        <f>I248</f>
        <v>20000000</v>
      </c>
      <c r="J247" s="107">
        <f aca="true" t="shared" si="120" ref="J247:T247">J248</f>
        <v>0</v>
      </c>
      <c r="K247" s="107">
        <f t="shared" si="120"/>
        <v>0</v>
      </c>
      <c r="L247" s="107">
        <f t="shared" si="120"/>
        <v>0</v>
      </c>
      <c r="M247" s="107">
        <f t="shared" si="120"/>
        <v>0</v>
      </c>
      <c r="N247" s="107">
        <f t="shared" si="120"/>
        <v>0</v>
      </c>
      <c r="O247" s="107">
        <f t="shared" si="120"/>
        <v>0</v>
      </c>
      <c r="P247" s="107">
        <f t="shared" si="120"/>
        <v>0</v>
      </c>
      <c r="Q247" s="107">
        <f t="shared" si="120"/>
        <v>0</v>
      </c>
      <c r="R247" s="107">
        <f t="shared" si="120"/>
        <v>0</v>
      </c>
      <c r="S247" s="107">
        <f t="shared" si="120"/>
        <v>0</v>
      </c>
      <c r="T247" s="107">
        <f t="shared" si="120"/>
        <v>20000000</v>
      </c>
      <c r="U247" s="107">
        <f>U248</f>
        <v>0</v>
      </c>
      <c r="V247" s="107">
        <f>V248</f>
        <v>0</v>
      </c>
      <c r="Y247" s="300"/>
    </row>
    <row r="248" spans="1:25" s="98" customFormat="1" ht="20.25">
      <c r="A248" s="43"/>
      <c r="B248" s="43"/>
      <c r="C248" s="43">
        <v>871</v>
      </c>
      <c r="D248" s="1"/>
      <c r="E248" s="1"/>
      <c r="F248" s="114" t="s">
        <v>176</v>
      </c>
      <c r="G248" s="107">
        <f>SUM(G249:G252)</f>
        <v>20000000</v>
      </c>
      <c r="H248" s="107">
        <f>SUM(H249:H252)</f>
        <v>0</v>
      </c>
      <c r="I248" s="107">
        <f>SUM(I249:I252)</f>
        <v>20000000</v>
      </c>
      <c r="J248" s="107">
        <f aca="true" t="shared" si="121" ref="J248:T248">SUM(J249:J252)</f>
        <v>0</v>
      </c>
      <c r="K248" s="107">
        <f t="shared" si="121"/>
        <v>0</v>
      </c>
      <c r="L248" s="107">
        <f t="shared" si="121"/>
        <v>0</v>
      </c>
      <c r="M248" s="107">
        <f t="shared" si="121"/>
        <v>0</v>
      </c>
      <c r="N248" s="107">
        <f t="shared" si="121"/>
        <v>0</v>
      </c>
      <c r="O248" s="107">
        <f t="shared" si="121"/>
        <v>0</v>
      </c>
      <c r="P248" s="107">
        <f t="shared" si="121"/>
        <v>0</v>
      </c>
      <c r="Q248" s="107">
        <f t="shared" si="121"/>
        <v>0</v>
      </c>
      <c r="R248" s="107">
        <f t="shared" si="121"/>
        <v>0</v>
      </c>
      <c r="S248" s="107">
        <f t="shared" si="121"/>
        <v>0</v>
      </c>
      <c r="T248" s="107">
        <f t="shared" si="121"/>
        <v>20000000</v>
      </c>
      <c r="U248" s="107">
        <f>SUM(U249:U252)</f>
        <v>0</v>
      </c>
      <c r="V248" s="107">
        <f>SUM(V249:V252)</f>
        <v>0</v>
      </c>
      <c r="Y248" s="300"/>
    </row>
    <row r="249" spans="1:25" s="98" customFormat="1" ht="11.25">
      <c r="A249" s="100"/>
      <c r="B249" s="100"/>
      <c r="C249" s="100">
        <v>871</v>
      </c>
      <c r="D249" s="2" t="s">
        <v>77</v>
      </c>
      <c r="E249" s="2" t="s">
        <v>32</v>
      </c>
      <c r="F249" s="103" t="s">
        <v>51</v>
      </c>
      <c r="G249" s="5">
        <v>0</v>
      </c>
      <c r="H249" s="5">
        <v>0</v>
      </c>
      <c r="I249" s="5">
        <f>G249+H249</f>
        <v>0</v>
      </c>
      <c r="J249" s="5">
        <v>0</v>
      </c>
      <c r="K249" s="5">
        <v>0</v>
      </c>
      <c r="L249" s="5">
        <v>0</v>
      </c>
      <c r="M249" s="5">
        <v>0</v>
      </c>
      <c r="N249" s="5">
        <f t="shared" si="104"/>
        <v>0</v>
      </c>
      <c r="O249" s="5">
        <v>0</v>
      </c>
      <c r="P249" s="5">
        <v>0</v>
      </c>
      <c r="Q249" s="5"/>
      <c r="R249" s="5"/>
      <c r="S249" s="5">
        <f t="shared" si="105"/>
        <v>0</v>
      </c>
      <c r="T249" s="7">
        <v>0</v>
      </c>
      <c r="U249" s="5">
        <v>0</v>
      </c>
      <c r="V249" s="5">
        <v>0</v>
      </c>
      <c r="Y249" s="300"/>
    </row>
    <row r="250" spans="1:25" s="98" customFormat="1" ht="11.25">
      <c r="A250" s="100"/>
      <c r="B250" s="100"/>
      <c r="C250" s="100">
        <v>871</v>
      </c>
      <c r="D250" s="2" t="s">
        <v>77</v>
      </c>
      <c r="E250" s="2" t="s">
        <v>32</v>
      </c>
      <c r="F250" s="103" t="s">
        <v>491</v>
      </c>
      <c r="G250" s="5">
        <v>0</v>
      </c>
      <c r="H250" s="5">
        <v>0</v>
      </c>
      <c r="I250" s="5">
        <f>G250+H250</f>
        <v>0</v>
      </c>
      <c r="J250" s="5">
        <v>0</v>
      </c>
      <c r="K250" s="5">
        <v>0</v>
      </c>
      <c r="L250" s="5">
        <v>0</v>
      </c>
      <c r="M250" s="5">
        <v>0</v>
      </c>
      <c r="N250" s="5">
        <f t="shared" si="104"/>
        <v>0</v>
      </c>
      <c r="O250" s="5">
        <v>0</v>
      </c>
      <c r="P250" s="5">
        <v>0</v>
      </c>
      <c r="Q250" s="5"/>
      <c r="R250" s="5"/>
      <c r="S250" s="5">
        <f t="shared" si="105"/>
        <v>0</v>
      </c>
      <c r="T250" s="7">
        <v>0</v>
      </c>
      <c r="U250" s="5">
        <v>0</v>
      </c>
      <c r="V250" s="5">
        <v>0</v>
      </c>
      <c r="Y250" s="300"/>
    </row>
    <row r="251" spans="1:25" s="98" customFormat="1" ht="30">
      <c r="A251" s="100"/>
      <c r="B251" s="100"/>
      <c r="C251" s="100">
        <v>874</v>
      </c>
      <c r="D251" s="2" t="s">
        <v>77</v>
      </c>
      <c r="E251" s="2" t="s">
        <v>55</v>
      </c>
      <c r="F251" s="115" t="s">
        <v>482</v>
      </c>
      <c r="G251" s="5">
        <v>0</v>
      </c>
      <c r="H251" s="5">
        <v>0</v>
      </c>
      <c r="I251" s="5">
        <f>G251+H251</f>
        <v>0</v>
      </c>
      <c r="J251" s="5">
        <v>0</v>
      </c>
      <c r="K251" s="5">
        <v>0</v>
      </c>
      <c r="L251" s="5">
        <v>0</v>
      </c>
      <c r="M251" s="5">
        <v>0</v>
      </c>
      <c r="N251" s="5">
        <f t="shared" si="104"/>
        <v>0</v>
      </c>
      <c r="O251" s="5">
        <v>0</v>
      </c>
      <c r="P251" s="5">
        <v>0</v>
      </c>
      <c r="Q251" s="5"/>
      <c r="R251" s="5"/>
      <c r="S251" s="5">
        <f t="shared" si="105"/>
        <v>0</v>
      </c>
      <c r="T251" s="7">
        <v>0</v>
      </c>
      <c r="U251" s="5">
        <v>0</v>
      </c>
      <c r="V251" s="5">
        <v>0</v>
      </c>
      <c r="Y251" s="300"/>
    </row>
    <row r="252" spans="1:25" s="98" customFormat="1" ht="11.25">
      <c r="A252" s="100"/>
      <c r="B252" s="100"/>
      <c r="C252" s="100">
        <v>871</v>
      </c>
      <c r="D252" s="2" t="s">
        <v>77</v>
      </c>
      <c r="E252" s="2" t="s">
        <v>21</v>
      </c>
      <c r="F252" s="103" t="s">
        <v>51</v>
      </c>
      <c r="G252" s="5">
        <v>20000000</v>
      </c>
      <c r="H252" s="5">
        <v>0</v>
      </c>
      <c r="I252" s="5">
        <f>G252+H252</f>
        <v>20000000</v>
      </c>
      <c r="J252" s="5">
        <v>0</v>
      </c>
      <c r="K252" s="5">
        <v>0</v>
      </c>
      <c r="L252" s="5">
        <v>0</v>
      </c>
      <c r="M252" s="5">
        <v>0</v>
      </c>
      <c r="N252" s="5">
        <f t="shared" si="104"/>
        <v>0</v>
      </c>
      <c r="O252" s="5">
        <v>0</v>
      </c>
      <c r="P252" s="5">
        <v>0</v>
      </c>
      <c r="Q252" s="5"/>
      <c r="R252" s="5"/>
      <c r="S252" s="5">
        <f t="shared" si="105"/>
        <v>0</v>
      </c>
      <c r="T252" s="7">
        <f>I252-S252</f>
        <v>20000000</v>
      </c>
      <c r="U252" s="5">
        <f>+S252</f>
        <v>0</v>
      </c>
      <c r="V252" s="5">
        <v>0</v>
      </c>
      <c r="Y252" s="300"/>
    </row>
    <row r="253" spans="1:25" s="83" customFormat="1" ht="7.5" customHeight="1">
      <c r="A253" s="101"/>
      <c r="B253" s="101"/>
      <c r="C253" s="101"/>
      <c r="D253" s="17"/>
      <c r="E253" s="17"/>
      <c r="F253" s="104"/>
      <c r="G253" s="5"/>
      <c r="H253" s="5"/>
      <c r="I253" s="5"/>
      <c r="J253" s="5"/>
      <c r="K253" s="5"/>
      <c r="L253" s="5"/>
      <c r="M253" s="5"/>
      <c r="N253" s="5">
        <f t="shared" si="104"/>
        <v>0</v>
      </c>
      <c r="O253" s="5"/>
      <c r="P253" s="5"/>
      <c r="Q253" s="5"/>
      <c r="R253" s="5"/>
      <c r="S253" s="5">
        <f t="shared" si="105"/>
        <v>0</v>
      </c>
      <c r="T253" s="7"/>
      <c r="U253" s="5"/>
      <c r="V253" s="5"/>
      <c r="Y253" s="300"/>
    </row>
    <row r="254" spans="1:25" s="98" customFormat="1" ht="20.25">
      <c r="A254" s="103"/>
      <c r="B254" s="43">
        <v>890</v>
      </c>
      <c r="C254" s="100"/>
      <c r="D254" s="2"/>
      <c r="E254" s="2"/>
      <c r="F254" s="114" t="s">
        <v>193</v>
      </c>
      <c r="G254" s="107">
        <f aca="true" t="shared" si="122" ref="G254:M254">G255</f>
        <v>0</v>
      </c>
      <c r="H254" s="107">
        <f t="shared" si="122"/>
        <v>0</v>
      </c>
      <c r="I254" s="107">
        <f>I255</f>
        <v>0</v>
      </c>
      <c r="J254" s="107">
        <f t="shared" si="122"/>
        <v>0</v>
      </c>
      <c r="K254" s="107">
        <f t="shared" si="122"/>
        <v>0</v>
      </c>
      <c r="L254" s="107">
        <f t="shared" si="122"/>
        <v>0</v>
      </c>
      <c r="M254" s="107">
        <f t="shared" si="122"/>
        <v>0</v>
      </c>
      <c r="N254" s="107">
        <f t="shared" si="104"/>
        <v>0</v>
      </c>
      <c r="O254" s="107">
        <f aca="true" t="shared" si="123" ref="O254:V254">O255</f>
        <v>0</v>
      </c>
      <c r="P254" s="107">
        <f t="shared" si="123"/>
        <v>0</v>
      </c>
      <c r="Q254" s="107"/>
      <c r="R254" s="107"/>
      <c r="S254" s="107">
        <f t="shared" si="105"/>
        <v>0</v>
      </c>
      <c r="T254" s="140">
        <f t="shared" si="123"/>
        <v>0</v>
      </c>
      <c r="U254" s="107">
        <f t="shared" si="123"/>
        <v>0</v>
      </c>
      <c r="V254" s="107">
        <f t="shared" si="123"/>
        <v>0</v>
      </c>
      <c r="Y254" s="300"/>
    </row>
    <row r="255" spans="1:25" s="98" customFormat="1" ht="11.25">
      <c r="A255" s="100"/>
      <c r="B255" s="100"/>
      <c r="C255" s="100">
        <v>894</v>
      </c>
      <c r="D255" s="2" t="s">
        <v>77</v>
      </c>
      <c r="E255" s="2" t="s">
        <v>32</v>
      </c>
      <c r="F255" s="103" t="s">
        <v>295</v>
      </c>
      <c r="G255" s="5">
        <v>0</v>
      </c>
      <c r="H255" s="5">
        <v>0</v>
      </c>
      <c r="I255" s="5">
        <f>G255+H255</f>
        <v>0</v>
      </c>
      <c r="J255" s="5">
        <v>0</v>
      </c>
      <c r="K255" s="5">
        <v>0</v>
      </c>
      <c r="L255" s="5">
        <v>0</v>
      </c>
      <c r="M255" s="5">
        <v>0</v>
      </c>
      <c r="N255" s="5">
        <f t="shared" si="104"/>
        <v>0</v>
      </c>
      <c r="O255" s="5">
        <v>0</v>
      </c>
      <c r="P255" s="5">
        <v>0</v>
      </c>
      <c r="Q255" s="5"/>
      <c r="R255" s="5"/>
      <c r="S255" s="5">
        <f t="shared" si="105"/>
        <v>0</v>
      </c>
      <c r="T255" s="7">
        <v>0</v>
      </c>
      <c r="U255" s="5">
        <v>0</v>
      </c>
      <c r="V255" s="5">
        <v>0</v>
      </c>
      <c r="Y255" s="300"/>
    </row>
    <row r="256" spans="1:25" s="83" customFormat="1" ht="7.5" customHeight="1">
      <c r="A256" s="101"/>
      <c r="B256" s="101"/>
      <c r="C256" s="101"/>
      <c r="D256" s="17"/>
      <c r="E256" s="17"/>
      <c r="F256" s="104"/>
      <c r="G256" s="5"/>
      <c r="H256" s="5"/>
      <c r="I256" s="5"/>
      <c r="J256" s="5"/>
      <c r="K256" s="5"/>
      <c r="L256" s="5"/>
      <c r="M256" s="5"/>
      <c r="N256" s="5">
        <f t="shared" si="104"/>
        <v>0</v>
      </c>
      <c r="O256" s="5"/>
      <c r="P256" s="5"/>
      <c r="Q256" s="5"/>
      <c r="R256" s="5"/>
      <c r="S256" s="5">
        <f t="shared" si="105"/>
        <v>0</v>
      </c>
      <c r="T256" s="7"/>
      <c r="U256" s="5"/>
      <c r="V256" s="5"/>
      <c r="Y256" s="300"/>
    </row>
    <row r="257" spans="1:25" s="98" customFormat="1" ht="11.25">
      <c r="A257" s="43">
        <v>900</v>
      </c>
      <c r="B257" s="100"/>
      <c r="C257" s="100"/>
      <c r="D257" s="2"/>
      <c r="E257" s="2"/>
      <c r="F257" s="102" t="s">
        <v>66</v>
      </c>
      <c r="G257" s="3">
        <f aca="true" t="shared" si="124" ref="G257:M257">G258</f>
        <v>168000000</v>
      </c>
      <c r="H257" s="3">
        <f t="shared" si="124"/>
        <v>-78285121</v>
      </c>
      <c r="I257" s="3">
        <f t="shared" si="124"/>
        <v>89714879</v>
      </c>
      <c r="J257" s="3">
        <f t="shared" si="124"/>
        <v>0</v>
      </c>
      <c r="K257" s="3">
        <f t="shared" si="124"/>
        <v>0</v>
      </c>
      <c r="L257" s="3">
        <f t="shared" si="124"/>
        <v>0</v>
      </c>
      <c r="M257" s="3">
        <f t="shared" si="124"/>
        <v>0</v>
      </c>
      <c r="N257" s="3">
        <f t="shared" si="104"/>
        <v>0</v>
      </c>
      <c r="O257" s="3">
        <f aca="true" t="shared" si="125" ref="O257:V257">O258</f>
        <v>0</v>
      </c>
      <c r="P257" s="3">
        <f t="shared" si="125"/>
        <v>0</v>
      </c>
      <c r="Q257" s="3"/>
      <c r="R257" s="3"/>
      <c r="S257" s="3">
        <f t="shared" si="105"/>
        <v>0</v>
      </c>
      <c r="T257" s="6">
        <f t="shared" si="125"/>
        <v>89714879</v>
      </c>
      <c r="U257" s="3">
        <f t="shared" si="125"/>
        <v>0</v>
      </c>
      <c r="V257" s="3">
        <f t="shared" si="125"/>
        <v>0</v>
      </c>
      <c r="Y257" s="300"/>
    </row>
    <row r="258" spans="1:25" s="98" customFormat="1" ht="20.25">
      <c r="A258" s="100"/>
      <c r="B258" s="43">
        <v>980</v>
      </c>
      <c r="C258" s="100"/>
      <c r="D258" s="2"/>
      <c r="E258" s="2"/>
      <c r="F258" s="114" t="s">
        <v>235</v>
      </c>
      <c r="G258" s="107">
        <f aca="true" t="shared" si="126" ref="G258:M258">SUM(G259:G262)</f>
        <v>168000000</v>
      </c>
      <c r="H258" s="107">
        <f t="shared" si="126"/>
        <v>-78285121</v>
      </c>
      <c r="I258" s="107">
        <f t="shared" si="126"/>
        <v>89714879</v>
      </c>
      <c r="J258" s="107">
        <f t="shared" si="126"/>
        <v>0</v>
      </c>
      <c r="K258" s="107">
        <f t="shared" si="126"/>
        <v>0</v>
      </c>
      <c r="L258" s="107">
        <f t="shared" si="126"/>
        <v>0</v>
      </c>
      <c r="M258" s="107">
        <f t="shared" si="126"/>
        <v>0</v>
      </c>
      <c r="N258" s="107">
        <f t="shared" si="104"/>
        <v>0</v>
      </c>
      <c r="O258" s="107">
        <f aca="true" t="shared" si="127" ref="O258:V258">SUM(O259:O262)</f>
        <v>0</v>
      </c>
      <c r="P258" s="107">
        <f t="shared" si="127"/>
        <v>0</v>
      </c>
      <c r="Q258" s="107"/>
      <c r="R258" s="107"/>
      <c r="S258" s="107">
        <f t="shared" si="105"/>
        <v>0</v>
      </c>
      <c r="T258" s="140">
        <f t="shared" si="127"/>
        <v>89714879</v>
      </c>
      <c r="U258" s="107">
        <f t="shared" si="127"/>
        <v>0</v>
      </c>
      <c r="V258" s="107">
        <f t="shared" si="127"/>
        <v>0</v>
      </c>
      <c r="Y258" s="300"/>
    </row>
    <row r="259" spans="1:25" s="98" customFormat="1" ht="11.25">
      <c r="A259" s="100"/>
      <c r="B259" s="100"/>
      <c r="C259" s="100">
        <v>980</v>
      </c>
      <c r="D259" s="2" t="s">
        <v>77</v>
      </c>
      <c r="E259" s="2" t="s">
        <v>32</v>
      </c>
      <c r="F259" s="103" t="s">
        <v>219</v>
      </c>
      <c r="G259" s="5">
        <v>168000000</v>
      </c>
      <c r="H259" s="5">
        <v>-78285121</v>
      </c>
      <c r="I259" s="5">
        <f>G259+H259</f>
        <v>89714879</v>
      </c>
      <c r="J259" s="5">
        <v>0</v>
      </c>
      <c r="K259" s="5">
        <v>0</v>
      </c>
      <c r="L259" s="5">
        <v>0</v>
      </c>
      <c r="M259" s="5">
        <v>0</v>
      </c>
      <c r="N259" s="5">
        <f t="shared" si="104"/>
        <v>0</v>
      </c>
      <c r="O259" s="5">
        <v>0</v>
      </c>
      <c r="P259" s="5">
        <v>0</v>
      </c>
      <c r="Q259" s="5"/>
      <c r="R259" s="5"/>
      <c r="S259" s="5">
        <f t="shared" si="105"/>
        <v>0</v>
      </c>
      <c r="T259" s="7">
        <f>I259-S259</f>
        <v>89714879</v>
      </c>
      <c r="U259" s="5">
        <f>+I259-T259</f>
        <v>0</v>
      </c>
      <c r="V259" s="5">
        <v>0</v>
      </c>
      <c r="Y259" s="300"/>
    </row>
    <row r="260" spans="1:25" s="98" customFormat="1" ht="11.25">
      <c r="A260" s="100"/>
      <c r="B260" s="100"/>
      <c r="C260" s="100">
        <v>980</v>
      </c>
      <c r="D260" s="2" t="s">
        <v>77</v>
      </c>
      <c r="E260" s="2" t="s">
        <v>58</v>
      </c>
      <c r="F260" s="103" t="s">
        <v>219</v>
      </c>
      <c r="G260" s="5">
        <v>0</v>
      </c>
      <c r="H260" s="5">
        <v>0</v>
      </c>
      <c r="I260" s="5">
        <f>G260+H260</f>
        <v>0</v>
      </c>
      <c r="J260" s="5">
        <v>0</v>
      </c>
      <c r="K260" s="5">
        <v>0</v>
      </c>
      <c r="L260" s="5">
        <v>0</v>
      </c>
      <c r="M260" s="5">
        <v>0</v>
      </c>
      <c r="N260" s="5">
        <f t="shared" si="104"/>
        <v>0</v>
      </c>
      <c r="O260" s="5">
        <v>0</v>
      </c>
      <c r="P260" s="5">
        <v>0</v>
      </c>
      <c r="Q260" s="5"/>
      <c r="R260" s="5"/>
      <c r="S260" s="5">
        <f t="shared" si="105"/>
        <v>0</v>
      </c>
      <c r="T260" s="7">
        <f>I260-S260</f>
        <v>0</v>
      </c>
      <c r="U260" s="5">
        <f>+I260-T260</f>
        <v>0</v>
      </c>
      <c r="V260" s="5">
        <v>0</v>
      </c>
      <c r="Y260" s="300"/>
    </row>
    <row r="261" spans="1:25" s="98" customFormat="1" ht="11.25">
      <c r="A261" s="100"/>
      <c r="B261" s="100"/>
      <c r="C261" s="100">
        <v>980</v>
      </c>
      <c r="D261" s="2" t="s">
        <v>77</v>
      </c>
      <c r="E261" s="2" t="s">
        <v>33</v>
      </c>
      <c r="F261" s="103" t="s">
        <v>219</v>
      </c>
      <c r="G261" s="5">
        <v>0</v>
      </c>
      <c r="H261" s="5">
        <v>0</v>
      </c>
      <c r="I261" s="5">
        <f>G261+H261</f>
        <v>0</v>
      </c>
      <c r="J261" s="5">
        <v>0</v>
      </c>
      <c r="K261" s="5">
        <v>0</v>
      </c>
      <c r="L261" s="5">
        <v>0</v>
      </c>
      <c r="M261" s="5">
        <v>0</v>
      </c>
      <c r="N261" s="5">
        <f t="shared" si="104"/>
        <v>0</v>
      </c>
      <c r="O261" s="5">
        <v>0</v>
      </c>
      <c r="P261" s="5">
        <v>0</v>
      </c>
      <c r="Q261" s="5"/>
      <c r="R261" s="5"/>
      <c r="S261" s="5">
        <f t="shared" si="105"/>
        <v>0</v>
      </c>
      <c r="T261" s="7">
        <f>I261-S261</f>
        <v>0</v>
      </c>
      <c r="U261" s="5">
        <f>+I261-T261</f>
        <v>0</v>
      </c>
      <c r="V261" s="5">
        <v>0</v>
      </c>
      <c r="Y261" s="300"/>
    </row>
    <row r="262" spans="1:25" s="98" customFormat="1" ht="11.25">
      <c r="A262" s="100"/>
      <c r="B262" s="100"/>
      <c r="C262" s="100">
        <v>980</v>
      </c>
      <c r="D262" s="2" t="s">
        <v>77</v>
      </c>
      <c r="E262" s="2" t="s">
        <v>21</v>
      </c>
      <c r="F262" s="103" t="s">
        <v>219</v>
      </c>
      <c r="G262" s="5">
        <v>0</v>
      </c>
      <c r="H262" s="5">
        <v>0</v>
      </c>
      <c r="I262" s="5">
        <f>G262+H262</f>
        <v>0</v>
      </c>
      <c r="J262" s="5">
        <v>0</v>
      </c>
      <c r="K262" s="5">
        <v>0</v>
      </c>
      <c r="L262" s="5">
        <v>0</v>
      </c>
      <c r="M262" s="5">
        <v>0</v>
      </c>
      <c r="N262" s="5">
        <f t="shared" si="104"/>
        <v>0</v>
      </c>
      <c r="O262" s="5">
        <v>0</v>
      </c>
      <c r="P262" s="5">
        <v>0</v>
      </c>
      <c r="Q262" s="5"/>
      <c r="R262" s="5"/>
      <c r="S262" s="5">
        <f t="shared" si="105"/>
        <v>0</v>
      </c>
      <c r="T262" s="7">
        <f>I262-S262</f>
        <v>0</v>
      </c>
      <c r="U262" s="5">
        <f>+I262-T262</f>
        <v>0</v>
      </c>
      <c r="V262" s="5">
        <v>0</v>
      </c>
      <c r="Y262" s="300"/>
    </row>
    <row r="263" spans="1:25" s="98" customFormat="1" ht="15">
      <c r="A263" s="40"/>
      <c r="B263" s="40"/>
      <c r="C263" s="40"/>
      <c r="D263" s="40"/>
      <c r="E263" s="40"/>
      <c r="F263" s="40" t="s">
        <v>17</v>
      </c>
      <c r="G263" s="42">
        <f aca="true" t="shared" si="128" ref="G263:V263">G18+G197</f>
        <v>3822599423</v>
      </c>
      <c r="H263" s="42">
        <f t="shared" si="128"/>
        <v>233653978</v>
      </c>
      <c r="I263" s="42">
        <f t="shared" si="128"/>
        <v>4056253401</v>
      </c>
      <c r="J263" s="42">
        <f t="shared" si="128"/>
        <v>5000000</v>
      </c>
      <c r="K263" s="42">
        <f t="shared" si="128"/>
        <v>65712019</v>
      </c>
      <c r="L263" s="42">
        <f t="shared" si="128"/>
        <v>43263668</v>
      </c>
      <c r="M263" s="42">
        <f t="shared" si="128"/>
        <v>294506785</v>
      </c>
      <c r="N263" s="42">
        <f>N18+N197</f>
        <v>408482472</v>
      </c>
      <c r="O263" s="42">
        <f t="shared" si="128"/>
        <v>213425217</v>
      </c>
      <c r="P263" s="42">
        <f t="shared" si="128"/>
        <v>179271541</v>
      </c>
      <c r="Q263" s="42">
        <f t="shared" si="128"/>
        <v>211672439</v>
      </c>
      <c r="R263" s="42">
        <f>R18+R197</f>
        <v>192488970</v>
      </c>
      <c r="S263" s="42">
        <f t="shared" si="128"/>
        <v>1205340639</v>
      </c>
      <c r="T263" s="42">
        <f t="shared" si="128"/>
        <v>2842032762</v>
      </c>
      <c r="U263" s="42">
        <f t="shared" si="128"/>
        <v>1204220639</v>
      </c>
      <c r="V263" s="42">
        <f t="shared" si="128"/>
        <v>0</v>
      </c>
      <c r="Y263" s="300"/>
    </row>
    <row r="264" spans="14:19" ht="12.75">
      <c r="N264" s="145"/>
      <c r="Q264" s="145"/>
      <c r="R264" s="145"/>
      <c r="S264" s="145"/>
    </row>
    <row r="265" spans="17:18" ht="12.75">
      <c r="Q265" s="145"/>
      <c r="R265" s="145"/>
    </row>
    <row r="267" spans="1:25" s="263" customFormat="1" ht="15.75">
      <c r="A267" s="518" t="s">
        <v>509</v>
      </c>
      <c r="B267" s="518"/>
      <c r="C267" s="518"/>
      <c r="D267" s="518"/>
      <c r="E267" s="518"/>
      <c r="F267" s="518"/>
      <c r="G267" s="518" t="s">
        <v>518</v>
      </c>
      <c r="H267" s="518"/>
      <c r="I267" s="518"/>
      <c r="J267" s="518"/>
      <c r="K267" s="518"/>
      <c r="L267" s="518"/>
      <c r="M267" s="518"/>
      <c r="N267" s="518"/>
      <c r="O267" s="518"/>
      <c r="P267" s="518"/>
      <c r="Q267" s="265"/>
      <c r="R267" s="265"/>
      <c r="S267" s="527" t="s">
        <v>542</v>
      </c>
      <c r="T267" s="527"/>
      <c r="U267" s="527"/>
      <c r="V267" s="267"/>
      <c r="Y267" s="305"/>
    </row>
    <row r="268" spans="1:25" s="262" customFormat="1" ht="15">
      <c r="A268" s="522" t="s">
        <v>498</v>
      </c>
      <c r="B268" s="522"/>
      <c r="C268" s="522"/>
      <c r="D268" s="522"/>
      <c r="E268" s="522"/>
      <c r="F268" s="522"/>
      <c r="G268" s="522" t="s">
        <v>477</v>
      </c>
      <c r="H268" s="522"/>
      <c r="I268" s="522"/>
      <c r="J268" s="522"/>
      <c r="K268" s="522"/>
      <c r="L268" s="522"/>
      <c r="M268" s="522"/>
      <c r="N268" s="522"/>
      <c r="O268" s="522"/>
      <c r="P268" s="522"/>
      <c r="Q268" s="237"/>
      <c r="R268" s="268"/>
      <c r="S268" s="522" t="s">
        <v>473</v>
      </c>
      <c r="T268" s="522"/>
      <c r="U268" s="522"/>
      <c r="Y268" s="304"/>
    </row>
    <row r="269" ht="12.75">
      <c r="Q269" s="237"/>
    </row>
    <row r="270" ht="12.75">
      <c r="Q270" s="237"/>
    </row>
    <row r="271" ht="12.75">
      <c r="Q271" s="237"/>
    </row>
    <row r="272" ht="12.75">
      <c r="Q272" s="237"/>
    </row>
    <row r="273" ht="12.75">
      <c r="Q273" s="145"/>
    </row>
  </sheetData>
  <sheetProtection/>
  <mergeCells count="23">
    <mergeCell ref="U14:V14"/>
    <mergeCell ref="S15:S16"/>
    <mergeCell ref="U11:V11"/>
    <mergeCell ref="U13:V13"/>
    <mergeCell ref="U15:U16"/>
    <mergeCell ref="V15:V16"/>
    <mergeCell ref="G268:P268"/>
    <mergeCell ref="F3:T3"/>
    <mergeCell ref="F4:T4"/>
    <mergeCell ref="T15:T16"/>
    <mergeCell ref="S267:U267"/>
    <mergeCell ref="S268:U268"/>
    <mergeCell ref="A267:F267"/>
    <mergeCell ref="A268:F268"/>
    <mergeCell ref="A15:E15"/>
    <mergeCell ref="N15:N16"/>
    <mergeCell ref="F15:F16"/>
    <mergeCell ref="I15:I16"/>
    <mergeCell ref="J15:M15"/>
    <mergeCell ref="H15:H16"/>
    <mergeCell ref="G15:G16"/>
    <mergeCell ref="G267:P267"/>
    <mergeCell ref="O15:R15"/>
  </mergeCells>
  <printOptions/>
  <pageMargins left="1.7716535433070868" right="1.1811023622047245" top="0.31496062992125984" bottom="0.7874015748031497" header="0" footer="0.5118110236220472"/>
  <pageSetup horizontalDpi="600" verticalDpi="600" orientation="landscape" paperSize="5" scale="85" r:id="rId1"/>
  <headerFooter alignWithMargins="0">
    <oddFooter>&amp;CPágina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S61"/>
  <sheetViews>
    <sheetView zoomScalePageLayoutView="0" workbookViewId="0" topLeftCell="A47">
      <selection activeCell="M55" sqref="M55:M56"/>
    </sheetView>
  </sheetViews>
  <sheetFormatPr defaultColWidth="10.140625" defaultRowHeight="12.75"/>
  <cols>
    <col min="1" max="1" width="8.140625" style="218" customWidth="1"/>
    <col min="2" max="2" width="13.00390625" style="169" bestFit="1" customWidth="1"/>
    <col min="3" max="3" width="48.28125" style="0" customWidth="1"/>
    <col min="4" max="5" width="12.140625" style="170" hidden="1" customWidth="1"/>
    <col min="6" max="9" width="12.140625" style="171" hidden="1" customWidth="1"/>
    <col min="10" max="11" width="12.140625" style="168" hidden="1" customWidth="1"/>
    <col min="12" max="13" width="14.28125" style="168" customWidth="1"/>
    <col min="14" max="14" width="6.421875" style="0" customWidth="1"/>
    <col min="15" max="15" width="8.8515625" style="0" customWidth="1"/>
  </cols>
  <sheetData>
    <row r="2" spans="1:13" s="240" customFormat="1" ht="27.75">
      <c r="A2" s="218"/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</row>
    <row r="3" spans="1:13" s="241" customFormat="1" ht="16.5">
      <c r="A3" s="218"/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</row>
    <row r="4" spans="1:13" s="241" customFormat="1" ht="16.5">
      <c r="A4" s="218"/>
      <c r="B4" s="594"/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</row>
    <row r="5" spans="1:9" s="168" customFormat="1" ht="13.5">
      <c r="A5" s="218"/>
      <c r="B5" s="169"/>
      <c r="D5" s="170"/>
      <c r="E5" s="170"/>
      <c r="F5" s="171"/>
      <c r="G5" s="171"/>
      <c r="H5" s="171"/>
      <c r="I5" s="171"/>
    </row>
    <row r="6" spans="1:13" s="243" customFormat="1" ht="22.5">
      <c r="A6" s="218"/>
      <c r="B6" s="595" t="s">
        <v>496</v>
      </c>
      <c r="C6" s="595"/>
      <c r="D6" s="595"/>
      <c r="E6" s="595"/>
      <c r="F6" s="595"/>
      <c r="G6" s="595"/>
      <c r="H6" s="595"/>
      <c r="I6" s="595"/>
      <c r="J6" s="595"/>
      <c r="K6" s="595"/>
      <c r="L6" s="595"/>
      <c r="M6" s="595"/>
    </row>
    <row r="7" spans="1:13" s="242" customFormat="1" ht="21">
      <c r="A7" s="218"/>
      <c r="B7" s="596" t="str">
        <f>BALANCE!B7</f>
        <v>Correspondiente al Segundo cuatrimestre del Ejercicio 2016</v>
      </c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</row>
    <row r="8" spans="1:13" s="219" customFormat="1" ht="15">
      <c r="A8" s="218"/>
      <c r="B8" s="220" t="s">
        <v>282</v>
      </c>
      <c r="C8" s="220">
        <v>30</v>
      </c>
      <c r="D8" s="221"/>
      <c r="E8" s="221"/>
      <c r="F8" s="222"/>
      <c r="G8" s="222"/>
      <c r="H8" s="222"/>
      <c r="I8" s="222"/>
      <c r="J8" s="223"/>
      <c r="K8" s="223"/>
      <c r="L8" s="223"/>
      <c r="M8" s="223"/>
    </row>
    <row r="9" spans="1:13" s="219" customFormat="1" ht="15">
      <c r="A9" s="218"/>
      <c r="B9" s="220" t="s">
        <v>281</v>
      </c>
      <c r="C9" s="220" t="s">
        <v>505</v>
      </c>
      <c r="D9" s="221"/>
      <c r="E9" s="221"/>
      <c r="F9" s="222"/>
      <c r="G9" s="222"/>
      <c r="H9" s="222"/>
      <c r="I9" s="222"/>
      <c r="J9" s="224" t="s">
        <v>494</v>
      </c>
      <c r="K9" s="223"/>
      <c r="L9" s="224" t="s">
        <v>495</v>
      </c>
      <c r="M9" s="223"/>
    </row>
    <row r="10" spans="1:9" s="168" customFormat="1" ht="13.5">
      <c r="A10" s="218"/>
      <c r="B10" s="169"/>
      <c r="D10" s="170"/>
      <c r="E10" s="170"/>
      <c r="F10" s="171"/>
      <c r="G10" s="172"/>
      <c r="H10" s="171"/>
      <c r="I10" s="171"/>
    </row>
    <row r="11" spans="1:15" s="229" customFormat="1" ht="13.5">
      <c r="A11" s="244"/>
      <c r="B11" s="597" t="s">
        <v>323</v>
      </c>
      <c r="C11" s="597" t="s">
        <v>297</v>
      </c>
      <c r="D11" s="600" t="s">
        <v>324</v>
      </c>
      <c r="E11" s="601"/>
      <c r="F11" s="600" t="s">
        <v>325</v>
      </c>
      <c r="G11" s="601"/>
      <c r="H11" s="600" t="s">
        <v>326</v>
      </c>
      <c r="I11" s="601"/>
      <c r="J11" s="602" t="s">
        <v>327</v>
      </c>
      <c r="K11" s="603"/>
      <c r="L11" s="602" t="s">
        <v>328</v>
      </c>
      <c r="M11" s="603"/>
      <c r="N11" s="227"/>
      <c r="O11" s="227"/>
    </row>
    <row r="12" spans="1:15" s="229" customFormat="1" ht="13.5">
      <c r="A12" s="244"/>
      <c r="B12" s="598"/>
      <c r="C12" s="599"/>
      <c r="D12" s="230" t="s">
        <v>329</v>
      </c>
      <c r="E12" s="230" t="s">
        <v>330</v>
      </c>
      <c r="F12" s="230" t="s">
        <v>329</v>
      </c>
      <c r="G12" s="230" t="s">
        <v>330</v>
      </c>
      <c r="H12" s="230" t="s">
        <v>331</v>
      </c>
      <c r="I12" s="230" t="s">
        <v>332</v>
      </c>
      <c r="J12" s="231" t="s">
        <v>333</v>
      </c>
      <c r="K12" s="231" t="s">
        <v>334</v>
      </c>
      <c r="L12" s="231" t="s">
        <v>335</v>
      </c>
      <c r="M12" s="231" t="s">
        <v>336</v>
      </c>
      <c r="N12" s="227"/>
      <c r="O12" s="227"/>
    </row>
    <row r="13" spans="2:13" ht="13.5">
      <c r="B13" s="182" t="s">
        <v>408</v>
      </c>
      <c r="C13" s="213" t="s">
        <v>409</v>
      </c>
      <c r="D13" s="188" t="e">
        <f aca="true" t="shared" si="0" ref="D13:K13">D14+D22</f>
        <v>#REF!</v>
      </c>
      <c r="E13" s="188" t="e">
        <f t="shared" si="0"/>
        <v>#REF!</v>
      </c>
      <c r="F13" s="188" t="e">
        <f t="shared" si="0"/>
        <v>#REF!</v>
      </c>
      <c r="G13" s="188" t="e">
        <f t="shared" si="0"/>
        <v>#REF!</v>
      </c>
      <c r="H13" s="188" t="e">
        <f t="shared" si="0"/>
        <v>#REF!</v>
      </c>
      <c r="I13" s="188" t="e">
        <f t="shared" si="0"/>
        <v>#REF!</v>
      </c>
      <c r="J13" s="188" t="e">
        <f t="shared" si="0"/>
        <v>#REF!</v>
      </c>
      <c r="K13" s="188" t="e">
        <f t="shared" si="0"/>
        <v>#REF!</v>
      </c>
      <c r="L13" s="188">
        <f>+L14+L22</f>
        <v>1228590539</v>
      </c>
      <c r="M13" s="188">
        <v>0</v>
      </c>
    </row>
    <row r="14" spans="2:13" ht="13.5">
      <c r="B14" s="182" t="s">
        <v>410</v>
      </c>
      <c r="C14" s="213" t="s">
        <v>411</v>
      </c>
      <c r="D14" s="188">
        <f aca="true" t="shared" si="1" ref="D14:M14">D15</f>
        <v>0</v>
      </c>
      <c r="E14" s="188">
        <f t="shared" si="1"/>
        <v>0</v>
      </c>
      <c r="F14" s="188">
        <f t="shared" si="1"/>
        <v>980375317</v>
      </c>
      <c r="G14" s="188">
        <f t="shared" si="1"/>
        <v>0</v>
      </c>
      <c r="H14" s="188">
        <f t="shared" si="1"/>
        <v>980375317</v>
      </c>
      <c r="I14" s="188">
        <f t="shared" si="1"/>
        <v>0</v>
      </c>
      <c r="J14" s="188">
        <f t="shared" si="1"/>
        <v>0</v>
      </c>
      <c r="K14" s="188">
        <f t="shared" si="1"/>
        <v>0</v>
      </c>
      <c r="L14" s="188">
        <f>+L15</f>
        <v>1004745217</v>
      </c>
      <c r="M14" s="188">
        <f t="shared" si="1"/>
        <v>0</v>
      </c>
    </row>
    <row r="15" spans="2:13" ht="13.5">
      <c r="B15" s="182" t="s">
        <v>412</v>
      </c>
      <c r="C15" s="213" t="s">
        <v>413</v>
      </c>
      <c r="D15" s="188">
        <f aca="true" t="shared" si="2" ref="D15:K15">SUM(D16:D20)</f>
        <v>0</v>
      </c>
      <c r="E15" s="188">
        <f t="shared" si="2"/>
        <v>0</v>
      </c>
      <c r="F15" s="188">
        <f t="shared" si="2"/>
        <v>980375317</v>
      </c>
      <c r="G15" s="188">
        <f t="shared" si="2"/>
        <v>0</v>
      </c>
      <c r="H15" s="188">
        <f t="shared" si="2"/>
        <v>980375317</v>
      </c>
      <c r="I15" s="188">
        <f t="shared" si="2"/>
        <v>0</v>
      </c>
      <c r="J15" s="188">
        <f t="shared" si="2"/>
        <v>0</v>
      </c>
      <c r="K15" s="188">
        <f t="shared" si="2"/>
        <v>0</v>
      </c>
      <c r="L15" s="188">
        <f>+L16+L17+L18+L19+L20</f>
        <v>1004745217</v>
      </c>
      <c r="M15" s="188">
        <f>SUM(M16:M20)</f>
        <v>0</v>
      </c>
    </row>
    <row r="16" spans="2:13" ht="13.5">
      <c r="B16" s="182" t="s">
        <v>414</v>
      </c>
      <c r="C16" s="217" t="s">
        <v>415</v>
      </c>
      <c r="D16" s="181">
        <v>0</v>
      </c>
      <c r="E16" s="181">
        <v>0</v>
      </c>
      <c r="F16" s="177">
        <f>'GASTOS CONSOLIDADO'!U19</f>
        <v>507205917</v>
      </c>
      <c r="G16" s="177">
        <v>0</v>
      </c>
      <c r="H16" s="177">
        <f>D16-E16+F16-G16</f>
        <v>507205917</v>
      </c>
      <c r="I16" s="181">
        <v>0</v>
      </c>
      <c r="J16" s="181">
        <v>0</v>
      </c>
      <c r="K16" s="181">
        <v>0</v>
      </c>
      <c r="L16" s="177">
        <f>375536484+129919333</f>
        <v>505455817</v>
      </c>
      <c r="M16" s="181">
        <v>0</v>
      </c>
    </row>
    <row r="17" spans="2:13" ht="13.5">
      <c r="B17" s="182" t="s">
        <v>416</v>
      </c>
      <c r="C17" s="215" t="s">
        <v>417</v>
      </c>
      <c r="D17" s="181">
        <v>0</v>
      </c>
      <c r="E17" s="181">
        <v>0</v>
      </c>
      <c r="F17" s="177">
        <f>'GASTOS CONSOLIDADO'!U53</f>
        <v>137314201</v>
      </c>
      <c r="G17" s="177">
        <v>0</v>
      </c>
      <c r="H17" s="177">
        <f>D17-E17+F17-G17</f>
        <v>137314201</v>
      </c>
      <c r="I17" s="181">
        <v>0</v>
      </c>
      <c r="J17" s="181">
        <v>0</v>
      </c>
      <c r="K17" s="181">
        <v>0</v>
      </c>
      <c r="L17" s="177">
        <f>97314201+40000000</f>
        <v>137314201</v>
      </c>
      <c r="M17" s="181">
        <v>0</v>
      </c>
    </row>
    <row r="18" spans="2:13" ht="13.5">
      <c r="B18" s="182" t="s">
        <v>418</v>
      </c>
      <c r="C18" s="215" t="s">
        <v>419</v>
      </c>
      <c r="D18" s="181">
        <v>0</v>
      </c>
      <c r="E18" s="181">
        <v>0</v>
      </c>
      <c r="F18" s="177">
        <f>'GASTOS CONSOLIDADO'!U92</f>
        <v>136090776</v>
      </c>
      <c r="G18" s="177">
        <v>0</v>
      </c>
      <c r="H18" s="177">
        <f>D18-E18+F18-G18</f>
        <v>136090776</v>
      </c>
      <c r="I18" s="181">
        <v>0</v>
      </c>
      <c r="J18" s="181">
        <v>0</v>
      </c>
      <c r="K18" s="181">
        <v>0</v>
      </c>
      <c r="L18" s="177">
        <f>81090776+25000000+55000000</f>
        <v>161090776</v>
      </c>
      <c r="M18" s="181">
        <v>0</v>
      </c>
    </row>
    <row r="19" spans="2:13" ht="13.5">
      <c r="B19" s="182" t="s">
        <v>420</v>
      </c>
      <c r="C19" s="215" t="s">
        <v>421</v>
      </c>
      <c r="D19" s="181">
        <v>0</v>
      </c>
      <c r="E19" s="181">
        <v>0</v>
      </c>
      <c r="F19" s="177">
        <f>'GASTOS CONSOLIDADO'!U134+'GASTOS CONSOLIDADO'!U246</f>
        <v>181619405</v>
      </c>
      <c r="G19" s="177">
        <v>0</v>
      </c>
      <c r="H19" s="177">
        <f>D19-E19+F19-G19</f>
        <v>181619405</v>
      </c>
      <c r="I19" s="181">
        <v>0</v>
      </c>
      <c r="J19" s="181">
        <v>0</v>
      </c>
      <c r="K19" s="181">
        <v>0</v>
      </c>
      <c r="L19" s="177">
        <f>182739405</f>
        <v>182739405</v>
      </c>
      <c r="M19" s="181">
        <v>0</v>
      </c>
    </row>
    <row r="20" spans="2:13" ht="13.5">
      <c r="B20" s="182" t="s">
        <v>422</v>
      </c>
      <c r="C20" s="217" t="s">
        <v>291</v>
      </c>
      <c r="D20" s="181">
        <v>0</v>
      </c>
      <c r="E20" s="181">
        <v>0</v>
      </c>
      <c r="F20" s="177">
        <f>'GASTOS CONSOLIDADO'!U182</f>
        <v>18145018</v>
      </c>
      <c r="G20" s="177">
        <v>0</v>
      </c>
      <c r="H20" s="177">
        <f>D20-E20+F20-G20</f>
        <v>18145018</v>
      </c>
      <c r="I20" s="181">
        <v>0</v>
      </c>
      <c r="J20" s="181">
        <v>0</v>
      </c>
      <c r="K20" s="181">
        <v>0</v>
      </c>
      <c r="L20" s="177">
        <v>18145018</v>
      </c>
      <c r="M20" s="181">
        <v>0</v>
      </c>
    </row>
    <row r="21" spans="2:13" ht="13.5">
      <c r="B21" s="182"/>
      <c r="C21" s="217"/>
      <c r="D21" s="181"/>
      <c r="E21" s="181"/>
      <c r="F21" s="177"/>
      <c r="G21" s="177"/>
      <c r="H21" s="177"/>
      <c r="I21" s="177"/>
      <c r="J21" s="182"/>
      <c r="K21" s="182"/>
      <c r="L21" s="177"/>
      <c r="M21" s="181"/>
    </row>
    <row r="22" spans="2:13" ht="13.5">
      <c r="B22" s="182" t="s">
        <v>424</v>
      </c>
      <c r="C22" s="213" t="s">
        <v>425</v>
      </c>
      <c r="D22" s="188" t="e">
        <f>#REF!</f>
        <v>#REF!</v>
      </c>
      <c r="E22" s="188" t="e">
        <f>#REF!</f>
        <v>#REF!</v>
      </c>
      <c r="F22" s="188" t="e">
        <f>#REF!</f>
        <v>#REF!</v>
      </c>
      <c r="G22" s="188" t="e">
        <f>#REF!</f>
        <v>#REF!</v>
      </c>
      <c r="H22" s="188" t="e">
        <f>#REF!</f>
        <v>#REF!</v>
      </c>
      <c r="I22" s="188" t="e">
        <f>#REF!</f>
        <v>#REF!</v>
      </c>
      <c r="J22" s="188" t="e">
        <f>#REF!</f>
        <v>#REF!</v>
      </c>
      <c r="K22" s="188" t="e">
        <f>#REF!</f>
        <v>#REF!</v>
      </c>
      <c r="L22" s="188">
        <f>+L23</f>
        <v>223845322</v>
      </c>
      <c r="M22" s="188">
        <v>0</v>
      </c>
    </row>
    <row r="23" spans="2:13" ht="13.5">
      <c r="B23" s="182" t="s">
        <v>426</v>
      </c>
      <c r="C23" s="217" t="s">
        <v>427</v>
      </c>
      <c r="D23" s="181">
        <v>0</v>
      </c>
      <c r="E23" s="181">
        <v>0</v>
      </c>
      <c r="F23" s="181">
        <f>'GASTOS CONSOLIDADO'!U212</f>
        <v>223845322</v>
      </c>
      <c r="G23" s="177">
        <v>0</v>
      </c>
      <c r="H23" s="177">
        <f>D23-E23+F23-G23</f>
        <v>223845322</v>
      </c>
      <c r="I23" s="181">
        <v>0</v>
      </c>
      <c r="J23" s="181">
        <v>0</v>
      </c>
      <c r="K23" s="181">
        <v>0</v>
      </c>
      <c r="L23" s="177">
        <f>86845322+137000000</f>
        <v>223845322</v>
      </c>
      <c r="M23" s="181">
        <v>0</v>
      </c>
    </row>
    <row r="24" spans="2:13" ht="13.5">
      <c r="B24" s="182" t="s">
        <v>428</v>
      </c>
      <c r="C24" s="217" t="s">
        <v>429</v>
      </c>
      <c r="D24" s="181">
        <v>0</v>
      </c>
      <c r="E24" s="181">
        <v>0</v>
      </c>
      <c r="F24" s="181">
        <v>0</v>
      </c>
      <c r="G24" s="177">
        <v>0</v>
      </c>
      <c r="H24" s="177">
        <f>D24-E24+F24-G24</f>
        <v>0</v>
      </c>
      <c r="I24" s="181">
        <v>0</v>
      </c>
      <c r="J24" s="181">
        <v>0</v>
      </c>
      <c r="K24" s="181">
        <v>0</v>
      </c>
      <c r="L24" s="177">
        <f>H24</f>
        <v>0</v>
      </c>
      <c r="M24" s="181">
        <v>0</v>
      </c>
    </row>
    <row r="25" spans="2:13" ht="13.5">
      <c r="B25" s="182" t="s">
        <v>430</v>
      </c>
      <c r="C25" s="217" t="s">
        <v>423</v>
      </c>
      <c r="D25" s="181">
        <v>0</v>
      </c>
      <c r="E25" s="181">
        <v>0</v>
      </c>
      <c r="F25" s="181">
        <f>'GASTOS CONSOLIDADO'!U237</f>
        <v>0</v>
      </c>
      <c r="G25" s="177">
        <v>0</v>
      </c>
      <c r="H25" s="177">
        <f>D25-E25+F25-G25</f>
        <v>0</v>
      </c>
      <c r="I25" s="181">
        <v>0</v>
      </c>
      <c r="J25" s="181">
        <v>0</v>
      </c>
      <c r="K25" s="181">
        <v>0</v>
      </c>
      <c r="L25" s="177">
        <v>0</v>
      </c>
      <c r="M25" s="181">
        <v>0</v>
      </c>
    </row>
    <row r="26" spans="2:13" ht="13.5">
      <c r="B26" s="182" t="s">
        <v>431</v>
      </c>
      <c r="C26" s="217" t="s">
        <v>432</v>
      </c>
      <c r="D26" s="181">
        <v>0</v>
      </c>
      <c r="E26" s="181">
        <v>0</v>
      </c>
      <c r="F26" s="181">
        <f>'GASTOS CONSOLIDADO'!U257</f>
        <v>0</v>
      </c>
      <c r="G26" s="177">
        <v>0</v>
      </c>
      <c r="H26" s="177">
        <f>D26-E26+F26-G26</f>
        <v>0</v>
      </c>
      <c r="I26" s="181">
        <v>0</v>
      </c>
      <c r="J26" s="181">
        <v>0</v>
      </c>
      <c r="K26" s="181">
        <v>0</v>
      </c>
      <c r="L26" s="177">
        <v>0</v>
      </c>
      <c r="M26" s="181">
        <v>0</v>
      </c>
    </row>
    <row r="27" spans="2:13" ht="13.5">
      <c r="B27" s="182"/>
      <c r="C27" s="217"/>
      <c r="D27" s="181"/>
      <c r="E27" s="181"/>
      <c r="F27" s="177"/>
      <c r="G27" s="177"/>
      <c r="H27" s="177"/>
      <c r="I27" s="177"/>
      <c r="J27" s="182"/>
      <c r="K27" s="182"/>
      <c r="L27" s="177"/>
      <c r="M27" s="177"/>
    </row>
    <row r="28" spans="2:13" ht="13.5">
      <c r="B28" s="182" t="s">
        <v>433</v>
      </c>
      <c r="C28" s="214" t="s">
        <v>336</v>
      </c>
      <c r="D28" s="188">
        <f aca="true" t="shared" si="3" ref="D28:L28">D29+D38+D43</f>
        <v>0</v>
      </c>
      <c r="E28" s="188">
        <f t="shared" si="3"/>
        <v>0</v>
      </c>
      <c r="F28" s="188">
        <f t="shared" si="3"/>
        <v>0</v>
      </c>
      <c r="G28" s="188" t="e">
        <f t="shared" si="3"/>
        <v>#REF!</v>
      </c>
      <c r="H28" s="188">
        <f t="shared" si="3"/>
        <v>0</v>
      </c>
      <c r="I28" s="188" t="e">
        <f t="shared" si="3"/>
        <v>#REF!</v>
      </c>
      <c r="J28" s="188">
        <f t="shared" si="3"/>
        <v>0</v>
      </c>
      <c r="K28" s="188">
        <f t="shared" si="3"/>
        <v>0</v>
      </c>
      <c r="L28" s="188">
        <f t="shared" si="3"/>
        <v>0</v>
      </c>
      <c r="M28" s="188">
        <f>+M29+M38+M43</f>
        <v>2838477246</v>
      </c>
    </row>
    <row r="29" spans="2:13" ht="13.5">
      <c r="B29" s="182" t="s">
        <v>434</v>
      </c>
      <c r="C29" s="214" t="s">
        <v>86</v>
      </c>
      <c r="D29" s="188">
        <f aca="true" t="shared" si="4" ref="D29:L29">SUM(D30:D36)</f>
        <v>0</v>
      </c>
      <c r="E29" s="188">
        <f t="shared" si="4"/>
        <v>0</v>
      </c>
      <c r="F29" s="188">
        <f t="shared" si="4"/>
        <v>0</v>
      </c>
      <c r="G29" s="188" t="e">
        <f t="shared" si="4"/>
        <v>#REF!</v>
      </c>
      <c r="H29" s="188">
        <f t="shared" si="4"/>
        <v>0</v>
      </c>
      <c r="I29" s="188" t="e">
        <f t="shared" si="4"/>
        <v>#REF!</v>
      </c>
      <c r="J29" s="188">
        <f t="shared" si="4"/>
        <v>0</v>
      </c>
      <c r="K29" s="188">
        <f t="shared" si="4"/>
        <v>0</v>
      </c>
      <c r="L29" s="188">
        <f t="shared" si="4"/>
        <v>0</v>
      </c>
      <c r="M29" s="188">
        <f>SUM(M30:M36)</f>
        <v>1308771541</v>
      </c>
    </row>
    <row r="30" spans="2:13" ht="13.5">
      <c r="B30" s="182" t="s">
        <v>435</v>
      </c>
      <c r="C30" s="215" t="s">
        <v>436</v>
      </c>
      <c r="D30" s="181">
        <v>0</v>
      </c>
      <c r="E30" s="181">
        <v>0</v>
      </c>
      <c r="F30" s="181">
        <v>0</v>
      </c>
      <c r="G30" s="177" t="e">
        <f>#REF!</f>
        <v>#REF!</v>
      </c>
      <c r="H30" s="181">
        <v>0</v>
      </c>
      <c r="I30" s="177" t="e">
        <f>E30+G30</f>
        <v>#REF!</v>
      </c>
      <c r="J30" s="181">
        <v>0</v>
      </c>
      <c r="K30" s="181">
        <v>0</v>
      </c>
      <c r="L30" s="181">
        <v>0</v>
      </c>
      <c r="M30" s="177">
        <v>838167934</v>
      </c>
    </row>
    <row r="31" spans="2:13" ht="13.5">
      <c r="B31" s="182" t="s">
        <v>437</v>
      </c>
      <c r="C31" s="215" t="s">
        <v>438</v>
      </c>
      <c r="D31" s="181">
        <v>0</v>
      </c>
      <c r="E31" s="181">
        <v>0</v>
      </c>
      <c r="F31" s="181">
        <v>0</v>
      </c>
      <c r="G31" s="177" t="e">
        <f>#REF!</f>
        <v>#REF!</v>
      </c>
      <c r="H31" s="181">
        <v>0</v>
      </c>
      <c r="I31" s="177" t="e">
        <f aca="true" t="shared" si="5" ref="I31:I36">E31+G31</f>
        <v>#REF!</v>
      </c>
      <c r="J31" s="181">
        <v>0</v>
      </c>
      <c r="K31" s="181">
        <v>0</v>
      </c>
      <c r="L31" s="181">
        <v>0</v>
      </c>
      <c r="M31" s="177">
        <v>2311328</v>
      </c>
    </row>
    <row r="32" spans="2:13" ht="13.5">
      <c r="B32" s="182" t="s">
        <v>439</v>
      </c>
      <c r="C32" s="190" t="s">
        <v>440</v>
      </c>
      <c r="D32" s="181">
        <v>0</v>
      </c>
      <c r="E32" s="181">
        <v>0</v>
      </c>
      <c r="F32" s="181">
        <v>0</v>
      </c>
      <c r="G32" s="177" t="e">
        <f>#REF!</f>
        <v>#REF!</v>
      </c>
      <c r="H32" s="181">
        <v>0</v>
      </c>
      <c r="I32" s="177" t="e">
        <f t="shared" si="5"/>
        <v>#REF!</v>
      </c>
      <c r="J32" s="181">
        <v>0</v>
      </c>
      <c r="K32" s="181">
        <v>0</v>
      </c>
      <c r="L32" s="181">
        <v>0</v>
      </c>
      <c r="M32" s="177">
        <v>52055358</v>
      </c>
    </row>
    <row r="33" spans="2:13" ht="13.5">
      <c r="B33" s="182" t="s">
        <v>441</v>
      </c>
      <c r="C33" s="190" t="s">
        <v>442</v>
      </c>
      <c r="D33" s="181">
        <v>0</v>
      </c>
      <c r="E33" s="181">
        <v>0</v>
      </c>
      <c r="F33" s="181">
        <v>0</v>
      </c>
      <c r="G33" s="181" t="e">
        <f>#REF!</f>
        <v>#REF!</v>
      </c>
      <c r="H33" s="181">
        <v>0</v>
      </c>
      <c r="I33" s="177" t="e">
        <f t="shared" si="5"/>
        <v>#REF!</v>
      </c>
      <c r="J33" s="181">
        <v>0</v>
      </c>
      <c r="K33" s="181">
        <v>0</v>
      </c>
      <c r="L33" s="181">
        <v>0</v>
      </c>
      <c r="M33" s="177">
        <v>415956921</v>
      </c>
    </row>
    <row r="34" spans="2:13" ht="13.5">
      <c r="B34" s="182" t="s">
        <v>443</v>
      </c>
      <c r="C34" s="190" t="s">
        <v>444</v>
      </c>
      <c r="D34" s="181">
        <v>0</v>
      </c>
      <c r="E34" s="181">
        <v>0</v>
      </c>
      <c r="F34" s="181">
        <v>0</v>
      </c>
      <c r="G34" s="177" t="e">
        <f>#REF!</f>
        <v>#REF!</v>
      </c>
      <c r="H34" s="181">
        <v>0</v>
      </c>
      <c r="I34" s="177" t="e">
        <f t="shared" si="5"/>
        <v>#REF!</v>
      </c>
      <c r="J34" s="177">
        <f>F34+H34</f>
        <v>0</v>
      </c>
      <c r="K34" s="177">
        <v>0</v>
      </c>
      <c r="L34" s="177">
        <f>H34+J34</f>
        <v>0</v>
      </c>
      <c r="M34" s="177">
        <v>280000</v>
      </c>
    </row>
    <row r="35" spans="2:13" ht="13.5">
      <c r="B35" s="182" t="s">
        <v>443</v>
      </c>
      <c r="C35" s="190" t="s">
        <v>445</v>
      </c>
      <c r="D35" s="181">
        <v>0</v>
      </c>
      <c r="E35" s="181">
        <v>0</v>
      </c>
      <c r="F35" s="181">
        <v>0</v>
      </c>
      <c r="G35" s="177" t="e">
        <f>#REF!</f>
        <v>#REF!</v>
      </c>
      <c r="H35" s="181">
        <v>0</v>
      </c>
      <c r="I35" s="177" t="e">
        <f t="shared" si="5"/>
        <v>#REF!</v>
      </c>
      <c r="J35" s="177">
        <f>F35+H35</f>
        <v>0</v>
      </c>
      <c r="K35" s="177">
        <v>0</v>
      </c>
      <c r="L35" s="177">
        <f>H35+J35</f>
        <v>0</v>
      </c>
      <c r="M35" s="177">
        <v>0</v>
      </c>
    </row>
    <row r="36" spans="2:13" ht="13.5">
      <c r="B36" s="182" t="s">
        <v>446</v>
      </c>
      <c r="C36" s="190" t="s">
        <v>8</v>
      </c>
      <c r="D36" s="181">
        <v>0</v>
      </c>
      <c r="E36" s="181">
        <v>0</v>
      </c>
      <c r="F36" s="181">
        <v>0</v>
      </c>
      <c r="G36" s="177" t="e">
        <f>#REF!</f>
        <v>#REF!</v>
      </c>
      <c r="H36" s="181">
        <v>0</v>
      </c>
      <c r="I36" s="177" t="e">
        <f t="shared" si="5"/>
        <v>#REF!</v>
      </c>
      <c r="J36" s="181">
        <v>0</v>
      </c>
      <c r="K36" s="181">
        <v>0</v>
      </c>
      <c r="L36" s="181">
        <v>0</v>
      </c>
      <c r="M36" s="177">
        <v>0</v>
      </c>
    </row>
    <row r="37" spans="2:13" ht="13.5">
      <c r="B37" s="182"/>
      <c r="C37" s="190"/>
      <c r="D37" s="181"/>
      <c r="E37" s="181"/>
      <c r="F37" s="177"/>
      <c r="G37" s="177"/>
      <c r="H37" s="177"/>
      <c r="I37" s="177"/>
      <c r="J37" s="182"/>
      <c r="K37" s="182"/>
      <c r="L37" s="177"/>
      <c r="M37" s="177"/>
    </row>
    <row r="38" spans="2:13" ht="13.5">
      <c r="B38" s="182" t="s">
        <v>447</v>
      </c>
      <c r="C38" s="207" t="s">
        <v>136</v>
      </c>
      <c r="D38" s="188">
        <f>SUM(D39:D41)</f>
        <v>0</v>
      </c>
      <c r="E38" s="188">
        <f aca="true" t="shared" si="6" ref="E38:L38">SUM(E39:E41)</f>
        <v>0</v>
      </c>
      <c r="F38" s="188">
        <f t="shared" si="6"/>
        <v>0</v>
      </c>
      <c r="G38" s="188" t="e">
        <f t="shared" si="6"/>
        <v>#REF!</v>
      </c>
      <c r="H38" s="188">
        <f t="shared" si="6"/>
        <v>0</v>
      </c>
      <c r="I38" s="188" t="e">
        <f t="shared" si="6"/>
        <v>#REF!</v>
      </c>
      <c r="J38" s="188">
        <f t="shared" si="6"/>
        <v>0</v>
      </c>
      <c r="K38" s="188">
        <f t="shared" si="6"/>
        <v>0</v>
      </c>
      <c r="L38" s="188">
        <f t="shared" si="6"/>
        <v>0</v>
      </c>
      <c r="M38" s="188">
        <f>SUM(M39:M41)</f>
        <v>1297051727</v>
      </c>
    </row>
    <row r="39" spans="2:13" ht="13.5">
      <c r="B39" s="182" t="s">
        <v>448</v>
      </c>
      <c r="C39" s="190" t="s">
        <v>138</v>
      </c>
      <c r="D39" s="181">
        <v>0</v>
      </c>
      <c r="E39" s="181">
        <v>0</v>
      </c>
      <c r="F39" s="181">
        <v>0</v>
      </c>
      <c r="G39" s="181" t="e">
        <f>#REF!</f>
        <v>#REF!</v>
      </c>
      <c r="H39" s="181">
        <v>0</v>
      </c>
      <c r="I39" s="177" t="e">
        <f>G39</f>
        <v>#REF!</v>
      </c>
      <c r="J39" s="181">
        <v>0</v>
      </c>
      <c r="K39" s="181">
        <v>0</v>
      </c>
      <c r="L39" s="181">
        <v>0</v>
      </c>
      <c r="M39" s="181">
        <v>0</v>
      </c>
    </row>
    <row r="40" spans="2:13" ht="13.5">
      <c r="B40" s="182" t="s">
        <v>449</v>
      </c>
      <c r="C40" s="190" t="s">
        <v>450</v>
      </c>
      <c r="D40" s="181">
        <v>0</v>
      </c>
      <c r="E40" s="181">
        <v>0</v>
      </c>
      <c r="F40" s="177">
        <v>0</v>
      </c>
      <c r="G40" s="177" t="e">
        <f>#REF!</f>
        <v>#REF!</v>
      </c>
      <c r="H40" s="177">
        <v>0</v>
      </c>
      <c r="I40" s="177" t="e">
        <f>G40</f>
        <v>#REF!</v>
      </c>
      <c r="J40" s="182">
        <v>0</v>
      </c>
      <c r="K40" s="182">
        <v>0</v>
      </c>
      <c r="L40" s="181">
        <v>0</v>
      </c>
      <c r="M40" s="181">
        <v>1297051727</v>
      </c>
    </row>
    <row r="41" spans="2:13" ht="13.5">
      <c r="B41" s="182" t="s">
        <v>451</v>
      </c>
      <c r="C41" s="190" t="s">
        <v>452</v>
      </c>
      <c r="D41" s="181">
        <v>0</v>
      </c>
      <c r="E41" s="181">
        <v>0</v>
      </c>
      <c r="F41" s="177">
        <v>0</v>
      </c>
      <c r="G41" s="177" t="e">
        <f>#REF!</f>
        <v>#REF!</v>
      </c>
      <c r="H41" s="177">
        <v>0</v>
      </c>
      <c r="I41" s="177" t="e">
        <f>G41</f>
        <v>#REF!</v>
      </c>
      <c r="J41" s="182">
        <v>0</v>
      </c>
      <c r="K41" s="182">
        <v>0</v>
      </c>
      <c r="L41" s="181">
        <v>0</v>
      </c>
      <c r="M41" s="181">
        <v>0</v>
      </c>
    </row>
    <row r="42" spans="2:13" ht="13.5">
      <c r="B42" s="182"/>
      <c r="C42" s="182"/>
      <c r="D42" s="181"/>
      <c r="E42" s="181"/>
      <c r="F42" s="177"/>
      <c r="G42" s="177"/>
      <c r="H42" s="177"/>
      <c r="I42" s="177">
        <f>G42</f>
        <v>0</v>
      </c>
      <c r="J42" s="182"/>
      <c r="K42" s="182"/>
      <c r="L42" s="177"/>
      <c r="M42" s="181"/>
    </row>
    <row r="43" spans="2:13" ht="13.5">
      <c r="B43" s="182" t="s">
        <v>453</v>
      </c>
      <c r="C43" s="205" t="s">
        <v>142</v>
      </c>
      <c r="D43" s="188">
        <f>D44</f>
        <v>0</v>
      </c>
      <c r="E43" s="188">
        <f aca="true" t="shared" si="7" ref="E43:L43">E44</f>
        <v>0</v>
      </c>
      <c r="F43" s="188">
        <f t="shared" si="7"/>
        <v>0</v>
      </c>
      <c r="G43" s="188" t="e">
        <f t="shared" si="7"/>
        <v>#REF!</v>
      </c>
      <c r="H43" s="188">
        <f t="shared" si="7"/>
        <v>0</v>
      </c>
      <c r="I43" s="188" t="e">
        <f t="shared" si="7"/>
        <v>#REF!</v>
      </c>
      <c r="J43" s="188">
        <f t="shared" si="7"/>
        <v>0</v>
      </c>
      <c r="K43" s="188">
        <f t="shared" si="7"/>
        <v>0</v>
      </c>
      <c r="L43" s="188">
        <f t="shared" si="7"/>
        <v>0</v>
      </c>
      <c r="M43" s="188">
        <f>M44</f>
        <v>232653978</v>
      </c>
    </row>
    <row r="44" spans="2:13" ht="13.5">
      <c r="B44" s="182" t="s">
        <v>454</v>
      </c>
      <c r="C44" s="205" t="s">
        <v>455</v>
      </c>
      <c r="D44" s="188">
        <f>SUM(D45:D46)</f>
        <v>0</v>
      </c>
      <c r="E44" s="188">
        <f aca="true" t="shared" si="8" ref="E44:L44">SUM(E45:E46)</f>
        <v>0</v>
      </c>
      <c r="F44" s="188">
        <f t="shared" si="8"/>
        <v>0</v>
      </c>
      <c r="G44" s="188" t="e">
        <f t="shared" si="8"/>
        <v>#REF!</v>
      </c>
      <c r="H44" s="188">
        <f t="shared" si="8"/>
        <v>0</v>
      </c>
      <c r="I44" s="188" t="e">
        <f t="shared" si="8"/>
        <v>#REF!</v>
      </c>
      <c r="J44" s="188">
        <f t="shared" si="8"/>
        <v>0</v>
      </c>
      <c r="K44" s="188">
        <f t="shared" si="8"/>
        <v>0</v>
      </c>
      <c r="L44" s="188">
        <f t="shared" si="8"/>
        <v>0</v>
      </c>
      <c r="M44" s="188">
        <f>SUM(M45:M46)</f>
        <v>232653978</v>
      </c>
    </row>
    <row r="45" spans="2:13" ht="13.5">
      <c r="B45" s="182" t="s">
        <v>456</v>
      </c>
      <c r="C45" s="182" t="s">
        <v>457</v>
      </c>
      <c r="D45" s="181">
        <v>0</v>
      </c>
      <c r="E45" s="181">
        <v>0</v>
      </c>
      <c r="F45" s="181">
        <v>0</v>
      </c>
      <c r="G45" s="181" t="e">
        <f>#REF!</f>
        <v>#REF!</v>
      </c>
      <c r="H45" s="181">
        <v>0</v>
      </c>
      <c r="I45" s="177" t="e">
        <f>G45</f>
        <v>#REF!</v>
      </c>
      <c r="J45" s="181">
        <v>0</v>
      </c>
      <c r="K45" s="181">
        <v>0</v>
      </c>
      <c r="L45" s="181">
        <v>0</v>
      </c>
      <c r="M45" s="181">
        <v>0</v>
      </c>
    </row>
    <row r="46" spans="2:13" ht="13.5">
      <c r="B46" s="182" t="s">
        <v>458</v>
      </c>
      <c r="C46" s="182" t="s">
        <v>180</v>
      </c>
      <c r="D46" s="181">
        <v>0</v>
      </c>
      <c r="E46" s="181">
        <v>0</v>
      </c>
      <c r="F46" s="181">
        <v>0</v>
      </c>
      <c r="G46" s="181" t="e">
        <f>#REF!</f>
        <v>#REF!</v>
      </c>
      <c r="H46" s="181">
        <v>0</v>
      </c>
      <c r="I46" s="177" t="e">
        <f>G46</f>
        <v>#REF!</v>
      </c>
      <c r="J46" s="181">
        <v>0</v>
      </c>
      <c r="K46" s="181">
        <v>0</v>
      </c>
      <c r="L46" s="181">
        <v>0</v>
      </c>
      <c r="M46" s="181">
        <v>232653978</v>
      </c>
    </row>
    <row r="47" spans="2:13" ht="13.5">
      <c r="B47" s="191"/>
      <c r="C47" s="185"/>
      <c r="D47" s="195"/>
      <c r="E47" s="195"/>
      <c r="F47" s="196"/>
      <c r="G47" s="196"/>
      <c r="H47" s="196"/>
      <c r="I47" s="196"/>
      <c r="J47" s="185"/>
      <c r="K47" s="185"/>
      <c r="L47" s="196"/>
      <c r="M47" s="196"/>
    </row>
    <row r="48" spans="2:13" ht="13.5">
      <c r="B48" s="211"/>
      <c r="C48" s="179" t="s">
        <v>459</v>
      </c>
      <c r="D48" s="180" t="e">
        <f>#REF!+D13</f>
        <v>#REF!</v>
      </c>
      <c r="E48" s="180" t="e">
        <f>#REF!+#REF!+E28</f>
        <v>#REF!</v>
      </c>
      <c r="F48" s="180" t="e">
        <f>#REF!+#REF!+#REF!+F13+F28</f>
        <v>#REF!</v>
      </c>
      <c r="G48" s="180" t="e">
        <f>#REF!+#REF!+#REF!+G13+G28</f>
        <v>#REF!</v>
      </c>
      <c r="H48" s="180" t="e">
        <f>#REF!+#REF!+#REF!+H13+H28</f>
        <v>#REF!</v>
      </c>
      <c r="I48" s="180" t="e">
        <f>#REF!+#REF!+#REF!+I13+I28</f>
        <v>#REF!</v>
      </c>
      <c r="J48" s="180" t="e">
        <f>#REF!+#REF!+#REF!+J13+J28</f>
        <v>#REF!</v>
      </c>
      <c r="K48" s="180" t="e">
        <f>#REF!+#REF!+#REF!+K13+K28</f>
        <v>#REF!</v>
      </c>
      <c r="L48" s="180">
        <f>L13+L28</f>
        <v>1228590539</v>
      </c>
      <c r="M48" s="180">
        <f>+M13+M28</f>
        <v>2838477246</v>
      </c>
    </row>
    <row r="49" spans="2:13" ht="13.5">
      <c r="B49" s="211"/>
      <c r="C49" s="192" t="s">
        <v>460</v>
      </c>
      <c r="D49" s="197"/>
      <c r="E49" s="197"/>
      <c r="F49" s="193"/>
      <c r="G49" s="193"/>
      <c r="H49" s="193"/>
      <c r="I49" s="193"/>
      <c r="J49" s="191"/>
      <c r="K49" s="193">
        <f>L49</f>
        <v>1609886707</v>
      </c>
      <c r="L49" s="193">
        <f>M48-L48</f>
        <v>1609886707</v>
      </c>
      <c r="M49" s="193"/>
    </row>
    <row r="50" spans="2:13" ht="14.25" thickBot="1">
      <c r="B50" s="212"/>
      <c r="C50" s="198" t="s">
        <v>461</v>
      </c>
      <c r="D50" s="199" t="e">
        <f>D48</f>
        <v>#REF!</v>
      </c>
      <c r="E50" s="199" t="e">
        <f>E48</f>
        <v>#REF!</v>
      </c>
      <c r="F50" s="200" t="e">
        <f aca="true" t="shared" si="9" ref="F50:L50">SUM(F48:F49)</f>
        <v>#REF!</v>
      </c>
      <c r="G50" s="200" t="e">
        <f t="shared" si="9"/>
        <v>#REF!</v>
      </c>
      <c r="H50" s="200" t="e">
        <f t="shared" si="9"/>
        <v>#REF!</v>
      </c>
      <c r="I50" s="200" t="e">
        <f t="shared" si="9"/>
        <v>#REF!</v>
      </c>
      <c r="J50" s="200" t="e">
        <f t="shared" si="9"/>
        <v>#REF!</v>
      </c>
      <c r="K50" s="200" t="e">
        <f t="shared" si="9"/>
        <v>#REF!</v>
      </c>
      <c r="L50" s="200">
        <f t="shared" si="9"/>
        <v>2838477246</v>
      </c>
      <c r="M50" s="200">
        <f>SUM(M48:M49)</f>
        <v>2838477246</v>
      </c>
    </row>
    <row r="51" spans="5:9" ht="14.25" thickTop="1">
      <c r="E51" s="170" t="e">
        <f>D48-E48</f>
        <v>#REF!</v>
      </c>
      <c r="F51" s="202"/>
      <c r="G51" s="202" t="e">
        <f>F48-G48</f>
        <v>#REF!</v>
      </c>
      <c r="I51" s="171" t="e">
        <f>H48-I48</f>
        <v>#REF!</v>
      </c>
    </row>
    <row r="52" spans="6:7" ht="13.5">
      <c r="F52" s="202"/>
      <c r="G52" s="202"/>
    </row>
    <row r="53" spans="6:7" ht="13.5">
      <c r="F53" s="202"/>
      <c r="G53" s="202"/>
    </row>
    <row r="54" spans="6:7" ht="13.5">
      <c r="F54" s="202"/>
      <c r="G54" s="202"/>
    </row>
    <row r="55" spans="2:13" s="219" customFormat="1" ht="15">
      <c r="B55" s="507" t="s">
        <v>509</v>
      </c>
      <c r="C55" s="509"/>
      <c r="D55" s="509"/>
      <c r="E55" s="509"/>
      <c r="F55" s="509"/>
      <c r="G55" s="509"/>
      <c r="H55" s="509"/>
      <c r="I55" s="509"/>
      <c r="J55" s="509"/>
      <c r="K55" s="509"/>
      <c r="M55" s="507" t="s">
        <v>541</v>
      </c>
    </row>
    <row r="56" spans="1:19" s="168" customFormat="1" ht="13.5">
      <c r="A56" s="218"/>
      <c r="B56" s="511" t="s">
        <v>588</v>
      </c>
      <c r="C56" s="63"/>
      <c r="D56" s="63"/>
      <c r="E56" s="63"/>
      <c r="F56" s="63"/>
      <c r="G56" s="63"/>
      <c r="H56" s="63"/>
      <c r="I56" s="63"/>
      <c r="J56" s="63"/>
      <c r="K56" s="63"/>
      <c r="M56" s="511" t="s">
        <v>473</v>
      </c>
      <c r="N56"/>
      <c r="O56"/>
      <c r="P56"/>
      <c r="Q56"/>
      <c r="R56"/>
      <c r="S56"/>
    </row>
    <row r="57" spans="1:19" s="168" customFormat="1" ht="13.5">
      <c r="A57" s="218"/>
      <c r="B57" s="510"/>
      <c r="C57" s="63"/>
      <c r="D57" s="63"/>
      <c r="E57" s="63"/>
      <c r="F57" s="63"/>
      <c r="G57" s="63"/>
      <c r="H57" s="63"/>
      <c r="I57" s="63"/>
      <c r="J57" s="63"/>
      <c r="K57" s="63"/>
      <c r="L57" s="510"/>
      <c r="N57"/>
      <c r="O57"/>
      <c r="P57"/>
      <c r="Q57"/>
      <c r="R57"/>
      <c r="S57"/>
    </row>
    <row r="58" spans="1:19" s="168" customFormat="1" ht="13.5">
      <c r="A58" s="218"/>
      <c r="B58" s="169"/>
      <c r="N58"/>
      <c r="O58"/>
      <c r="P58"/>
      <c r="Q58"/>
      <c r="R58"/>
      <c r="S58"/>
    </row>
    <row r="59" spans="1:19" s="168" customFormat="1" ht="13.5">
      <c r="A59" s="218"/>
      <c r="B59" s="169"/>
      <c r="N59"/>
      <c r="O59"/>
      <c r="P59"/>
      <c r="Q59"/>
      <c r="R59"/>
      <c r="S59"/>
    </row>
    <row r="60" spans="3:12" ht="15">
      <c r="C60" s="507" t="s">
        <v>518</v>
      </c>
      <c r="D60" s="509"/>
      <c r="E60" s="509"/>
      <c r="F60" s="509"/>
      <c r="G60" s="509"/>
      <c r="H60" s="509"/>
      <c r="I60" s="509"/>
      <c r="J60" s="509"/>
      <c r="K60" s="509"/>
      <c r="L60" s="509"/>
    </row>
    <row r="61" spans="3:12" ht="13.5">
      <c r="C61" s="506" t="s">
        <v>477</v>
      </c>
      <c r="D61" s="63"/>
      <c r="E61" s="63"/>
      <c r="F61" s="63"/>
      <c r="G61" s="63"/>
      <c r="H61" s="63"/>
      <c r="I61" s="63"/>
      <c r="J61" s="63"/>
      <c r="K61" s="63"/>
      <c r="L61" s="63"/>
    </row>
  </sheetData>
  <sheetProtection/>
  <mergeCells count="12">
    <mergeCell ref="C11:C12"/>
    <mergeCell ref="D11:E11"/>
    <mergeCell ref="F11:G11"/>
    <mergeCell ref="H11:I11"/>
    <mergeCell ref="J11:K11"/>
    <mergeCell ref="L11:M11"/>
    <mergeCell ref="B2:M2"/>
    <mergeCell ref="B3:M3"/>
    <mergeCell ref="B4:M4"/>
    <mergeCell ref="B6:M6"/>
    <mergeCell ref="B7:M7"/>
    <mergeCell ref="B11:B12"/>
  </mergeCells>
  <printOptions/>
  <pageMargins left="1.07" right="0" top="0.3937007874015748" bottom="1.3779527559055118" header="0.1968503937007874" footer="0.1968503937007874"/>
  <pageSetup horizontalDpi="300" verticalDpi="300" orientation="portrait" paperSize="5" scale="80" r:id="rId1"/>
  <headerFooter alignWithMargins="0"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0"/>
  <sheetViews>
    <sheetView zoomScalePageLayoutView="0" workbookViewId="0" topLeftCell="A136">
      <selection activeCell="L151" sqref="L151"/>
    </sheetView>
  </sheetViews>
  <sheetFormatPr defaultColWidth="11.421875" defaultRowHeight="12.75"/>
  <cols>
    <col min="1" max="1" width="13.8515625" style="422" bestFit="1" customWidth="1"/>
    <col min="2" max="2" width="11.57421875" style="422" bestFit="1" customWidth="1"/>
    <col min="3" max="3" width="12.8515625" style="343" bestFit="1" customWidth="1"/>
    <col min="4" max="4" width="12.28125" style="0" bestFit="1" customWidth="1"/>
    <col min="5" max="5" width="13.8515625" style="343" bestFit="1" customWidth="1"/>
    <col min="6" max="6" width="12.28125" style="0" bestFit="1" customWidth="1"/>
    <col min="7" max="7" width="14.140625" style="343" bestFit="1" customWidth="1"/>
    <col min="8" max="8" width="14.00390625" style="343" bestFit="1" customWidth="1"/>
    <col min="9" max="9" width="11.57421875" style="0" bestFit="1" customWidth="1"/>
    <col min="10" max="10" width="12.8515625" style="0" bestFit="1" customWidth="1"/>
    <col min="11" max="11" width="11.57421875" style="0" bestFit="1" customWidth="1"/>
  </cols>
  <sheetData>
    <row r="1" ht="14.25" customHeight="1">
      <c r="B1" s="423" t="s">
        <v>514</v>
      </c>
    </row>
    <row r="2" spans="1:4" ht="12.75">
      <c r="A2" s="422">
        <v>123</v>
      </c>
      <c r="B2" s="426" t="s">
        <v>581</v>
      </c>
      <c r="C2" s="343">
        <v>2481643</v>
      </c>
      <c r="D2" s="346"/>
    </row>
    <row r="3" spans="1:3" ht="12.75">
      <c r="A3" s="422">
        <v>106</v>
      </c>
      <c r="B3" s="422">
        <v>111</v>
      </c>
      <c r="C3" s="343">
        <v>1496812</v>
      </c>
    </row>
    <row r="4" spans="1:3" ht="12.75">
      <c r="A4" s="422">
        <v>107</v>
      </c>
      <c r="B4" s="422">
        <v>111</v>
      </c>
      <c r="C4" s="345">
        <f>12188317-3861000</f>
        <v>8327317</v>
      </c>
    </row>
    <row r="5" spans="1:3" ht="12.75">
      <c r="A5" s="422">
        <v>151</v>
      </c>
      <c r="B5" s="422">
        <v>111</v>
      </c>
      <c r="C5" s="343">
        <v>8327317</v>
      </c>
    </row>
    <row r="6" spans="1:4" ht="12.75">
      <c r="A6" s="422">
        <v>152</v>
      </c>
      <c r="B6" s="422">
        <v>111</v>
      </c>
      <c r="C6" s="343">
        <v>1496812</v>
      </c>
      <c r="D6" s="346">
        <f>SUM(C2:C6)</f>
        <v>22129901</v>
      </c>
    </row>
    <row r="7" spans="1:3" ht="12.75">
      <c r="A7" s="422">
        <v>108</v>
      </c>
      <c r="B7" s="422">
        <v>112</v>
      </c>
      <c r="C7" s="343">
        <v>5808000</v>
      </c>
    </row>
    <row r="8" spans="1:4" ht="12.75">
      <c r="A8" s="422">
        <v>150</v>
      </c>
      <c r="B8" s="422">
        <v>112</v>
      </c>
      <c r="C8" s="343">
        <v>5808000</v>
      </c>
      <c r="D8" s="346">
        <f>+C7+C8</f>
        <v>11616000</v>
      </c>
    </row>
    <row r="9" spans="1:3" ht="12.75">
      <c r="A9" s="422">
        <v>107</v>
      </c>
      <c r="B9" s="422">
        <v>113</v>
      </c>
      <c r="C9" s="345">
        <v>3861000</v>
      </c>
    </row>
    <row r="10" spans="1:4" ht="12.75">
      <c r="A10" s="422">
        <v>151</v>
      </c>
      <c r="B10" s="422">
        <v>113</v>
      </c>
      <c r="C10" s="343">
        <v>3861000</v>
      </c>
      <c r="D10" s="346">
        <f>+C10+C9</f>
        <v>7722000</v>
      </c>
    </row>
    <row r="11" spans="1:4" ht="12.75">
      <c r="A11" s="422">
        <v>123</v>
      </c>
      <c r="B11" s="422">
        <v>134</v>
      </c>
      <c r="C11" s="343">
        <v>1080896</v>
      </c>
      <c r="D11" s="346">
        <f>+C11</f>
        <v>1080896</v>
      </c>
    </row>
    <row r="12" spans="1:4" ht="12.75">
      <c r="A12" s="422">
        <v>127</v>
      </c>
      <c r="B12" s="422">
        <v>135</v>
      </c>
      <c r="C12" s="343">
        <v>4500000</v>
      </c>
      <c r="D12" s="346">
        <f>+C12</f>
        <v>4500000</v>
      </c>
    </row>
    <row r="13" spans="1:4" ht="12.75">
      <c r="A13" s="422">
        <v>149</v>
      </c>
      <c r="B13" s="422">
        <v>144</v>
      </c>
      <c r="C13" s="343">
        <v>8100000</v>
      </c>
      <c r="D13" s="346">
        <f>+C13</f>
        <v>8100000</v>
      </c>
    </row>
    <row r="14" spans="1:3" ht="12.75">
      <c r="A14" s="422">
        <v>122</v>
      </c>
      <c r="B14" s="422">
        <v>145</v>
      </c>
      <c r="C14" s="343">
        <v>6500000</v>
      </c>
    </row>
    <row r="15" spans="1:4" ht="12.75">
      <c r="A15" s="422">
        <v>155</v>
      </c>
      <c r="B15" s="422">
        <v>145</v>
      </c>
      <c r="C15" s="343">
        <v>11000000</v>
      </c>
      <c r="D15" s="346">
        <f>+C15+C14</f>
        <v>17500000</v>
      </c>
    </row>
    <row r="16" spans="1:4" ht="12.75">
      <c r="A16" s="422">
        <v>136</v>
      </c>
      <c r="B16" s="422">
        <v>190</v>
      </c>
      <c r="C16" s="343">
        <v>6588474</v>
      </c>
      <c r="D16" s="346">
        <f>+C16</f>
        <v>6588474</v>
      </c>
    </row>
    <row r="17" spans="1:3" ht="12.75">
      <c r="A17" s="422">
        <v>133</v>
      </c>
      <c r="B17" s="422">
        <v>210</v>
      </c>
      <c r="C17" s="343">
        <v>254000</v>
      </c>
    </row>
    <row r="18" spans="1:4" ht="12.75">
      <c r="A18" s="422">
        <v>134</v>
      </c>
      <c r="B18" s="422">
        <v>210</v>
      </c>
      <c r="C18" s="343">
        <v>128521</v>
      </c>
      <c r="D18" s="346">
        <f>+C18+C17</f>
        <v>382521</v>
      </c>
    </row>
    <row r="19" spans="1:4" ht="12.75">
      <c r="A19" s="422">
        <v>111</v>
      </c>
      <c r="B19" s="422">
        <v>230</v>
      </c>
      <c r="C19" s="343">
        <v>2000000</v>
      </c>
      <c r="D19" s="343"/>
    </row>
    <row r="20" spans="1:3" ht="12.75">
      <c r="A20" s="422">
        <v>126</v>
      </c>
      <c r="B20" s="422">
        <v>230</v>
      </c>
      <c r="C20" s="343">
        <v>1000000</v>
      </c>
    </row>
    <row r="21" spans="1:3" ht="12.75">
      <c r="A21" s="422">
        <v>142</v>
      </c>
      <c r="B21" s="422">
        <v>230</v>
      </c>
      <c r="C21" s="343">
        <v>400000</v>
      </c>
    </row>
    <row r="22" spans="1:4" ht="12.75">
      <c r="A22" s="422">
        <v>146</v>
      </c>
      <c r="B22" s="422">
        <v>230</v>
      </c>
      <c r="C22" s="343">
        <v>500000</v>
      </c>
      <c r="D22" s="346">
        <f>+C22+C21+C19+C20</f>
        <v>3900000</v>
      </c>
    </row>
    <row r="23" spans="1:3" ht="12.75">
      <c r="A23" s="422">
        <v>109</v>
      </c>
      <c r="B23" s="422">
        <v>240</v>
      </c>
      <c r="C23" s="343">
        <v>373000</v>
      </c>
    </row>
    <row r="24" spans="1:3" ht="12.75">
      <c r="A24" s="422">
        <v>112</v>
      </c>
      <c r="B24" s="424">
        <v>240</v>
      </c>
      <c r="C24" s="343">
        <v>600000</v>
      </c>
    </row>
    <row r="25" spans="1:3" ht="12.75">
      <c r="A25" s="422">
        <v>112</v>
      </c>
      <c r="B25" s="424">
        <v>240</v>
      </c>
      <c r="C25" s="343">
        <v>140000</v>
      </c>
    </row>
    <row r="26" spans="1:3" ht="12.75">
      <c r="A26" s="422">
        <v>112</v>
      </c>
      <c r="B26" s="424">
        <v>240</v>
      </c>
      <c r="C26" s="343">
        <v>666000</v>
      </c>
    </row>
    <row r="27" spans="1:3" ht="12.75">
      <c r="A27" s="422">
        <v>124</v>
      </c>
      <c r="B27" s="422">
        <v>240</v>
      </c>
      <c r="C27" s="343">
        <v>1205200</v>
      </c>
    </row>
    <row r="28" spans="1:3" ht="12.75">
      <c r="A28" s="422">
        <v>125</v>
      </c>
      <c r="B28" s="422">
        <v>240</v>
      </c>
      <c r="C28" s="343">
        <v>1400000</v>
      </c>
    </row>
    <row r="29" spans="1:3" ht="12.75">
      <c r="A29" s="422">
        <v>128</v>
      </c>
      <c r="B29" s="422">
        <v>240</v>
      </c>
      <c r="C29" s="343">
        <v>1400000</v>
      </c>
    </row>
    <row r="30" spans="1:4" ht="12.75">
      <c r="A30" s="422">
        <v>138</v>
      </c>
      <c r="B30" s="422">
        <v>240</v>
      </c>
      <c r="C30" s="343">
        <v>1400000</v>
      </c>
      <c r="D30" s="346">
        <f>SUM(C23:C30)</f>
        <v>7184200</v>
      </c>
    </row>
    <row r="31" spans="1:3" ht="12.75">
      <c r="A31" s="422">
        <v>115</v>
      </c>
      <c r="B31" s="424">
        <v>250</v>
      </c>
      <c r="C31" s="343">
        <v>332168</v>
      </c>
    </row>
    <row r="32" spans="1:4" ht="12.75">
      <c r="A32" s="422">
        <v>116</v>
      </c>
      <c r="B32" s="424">
        <v>250</v>
      </c>
      <c r="C32" s="345">
        <v>1050000</v>
      </c>
      <c r="D32" s="346">
        <f>+C32+C31</f>
        <v>1382168</v>
      </c>
    </row>
    <row r="33" spans="1:3" ht="12.75">
      <c r="A33" s="422">
        <v>120</v>
      </c>
      <c r="B33" s="422">
        <v>260</v>
      </c>
      <c r="C33" s="343">
        <v>726983</v>
      </c>
    </row>
    <row r="34" spans="1:4" ht="12.75">
      <c r="A34" s="422">
        <v>121</v>
      </c>
      <c r="B34" s="424">
        <v>260</v>
      </c>
      <c r="C34" s="343">
        <v>54000</v>
      </c>
      <c r="D34" s="347"/>
    </row>
    <row r="35" spans="1:4" ht="12.75">
      <c r="A35" s="422">
        <v>121</v>
      </c>
      <c r="B35" s="424">
        <v>260</v>
      </c>
      <c r="C35" s="343">
        <v>1396000</v>
      </c>
      <c r="D35" s="347"/>
    </row>
    <row r="36" spans="1:4" ht="12.75">
      <c r="A36" s="422">
        <v>121</v>
      </c>
      <c r="B36" s="424">
        <v>260</v>
      </c>
      <c r="C36" s="343">
        <v>1400000</v>
      </c>
      <c r="D36" s="346">
        <f>SUM(C33:C36)</f>
        <v>3576983</v>
      </c>
    </row>
    <row r="37" spans="1:3" ht="12.75">
      <c r="A37" s="422">
        <v>112</v>
      </c>
      <c r="B37" s="424">
        <v>280</v>
      </c>
      <c r="C37" s="343">
        <v>11000</v>
      </c>
    </row>
    <row r="38" spans="1:3" ht="12.75">
      <c r="A38" s="422">
        <v>112</v>
      </c>
      <c r="B38" s="424">
        <v>280</v>
      </c>
      <c r="C38" s="343">
        <v>77000</v>
      </c>
    </row>
    <row r="39" spans="1:3" ht="12.75">
      <c r="A39" s="422">
        <v>112</v>
      </c>
      <c r="B39" s="424">
        <v>280</v>
      </c>
      <c r="C39" s="343">
        <v>58900</v>
      </c>
    </row>
    <row r="40" spans="1:3" ht="12.75">
      <c r="A40" s="422">
        <v>112</v>
      </c>
      <c r="B40" s="424">
        <v>280</v>
      </c>
      <c r="C40" s="343">
        <v>163000</v>
      </c>
    </row>
    <row r="41" spans="1:3" ht="12.75">
      <c r="A41" s="422">
        <v>112</v>
      </c>
      <c r="B41" s="424">
        <v>280</v>
      </c>
      <c r="C41" s="343">
        <v>128000</v>
      </c>
    </row>
    <row r="42" spans="1:3" ht="12.75">
      <c r="A42" s="422">
        <v>112</v>
      </c>
      <c r="B42" s="424">
        <v>280</v>
      </c>
      <c r="C42" s="343">
        <v>22500</v>
      </c>
    </row>
    <row r="43" spans="1:3" ht="12.75">
      <c r="A43" s="422">
        <v>112</v>
      </c>
      <c r="B43" s="424">
        <v>280</v>
      </c>
      <c r="C43" s="343">
        <v>58000</v>
      </c>
    </row>
    <row r="44" spans="1:3" ht="12.75">
      <c r="A44" s="422">
        <v>112</v>
      </c>
      <c r="B44" s="424">
        <v>280</v>
      </c>
      <c r="C44" s="343">
        <v>16500</v>
      </c>
    </row>
    <row r="45" spans="1:3" ht="12.75">
      <c r="A45" s="422">
        <v>112</v>
      </c>
      <c r="B45" s="424">
        <v>280</v>
      </c>
      <c r="C45" s="343">
        <v>90000</v>
      </c>
    </row>
    <row r="46" spans="1:3" ht="12.75">
      <c r="A46" s="422">
        <v>112</v>
      </c>
      <c r="B46" s="424">
        <v>280</v>
      </c>
      <c r="C46" s="343">
        <v>166000</v>
      </c>
    </row>
    <row r="47" spans="1:3" ht="12.75">
      <c r="A47" s="422">
        <v>112</v>
      </c>
      <c r="B47" s="424">
        <v>280</v>
      </c>
      <c r="C47" s="343">
        <v>68000</v>
      </c>
    </row>
    <row r="48" spans="1:3" ht="12.75">
      <c r="A48" s="422">
        <v>112</v>
      </c>
      <c r="B48" s="424">
        <v>280</v>
      </c>
      <c r="C48" s="343">
        <v>87000</v>
      </c>
    </row>
    <row r="49" spans="1:4" ht="12.75">
      <c r="A49" s="422">
        <v>135</v>
      </c>
      <c r="B49" s="422">
        <v>280</v>
      </c>
      <c r="C49" s="343">
        <v>35000000</v>
      </c>
      <c r="D49" s="346">
        <f>SUM(C37:C49)</f>
        <v>35945900</v>
      </c>
    </row>
    <row r="50" spans="1:4" ht="12.75">
      <c r="A50" s="422">
        <v>112</v>
      </c>
      <c r="B50" s="424">
        <v>310</v>
      </c>
      <c r="C50" s="343">
        <v>11500</v>
      </c>
      <c r="D50" s="346">
        <f>+C50</f>
        <v>11500</v>
      </c>
    </row>
    <row r="51" spans="1:3" ht="12.75">
      <c r="A51" s="422">
        <v>112</v>
      </c>
      <c r="B51" s="424">
        <v>330</v>
      </c>
      <c r="C51" s="343">
        <v>94100</v>
      </c>
    </row>
    <row r="52" spans="1:3" ht="12.75">
      <c r="A52" s="422">
        <v>121</v>
      </c>
      <c r="B52" s="424">
        <v>330</v>
      </c>
      <c r="C52" s="343">
        <v>1400000</v>
      </c>
    </row>
    <row r="53" spans="1:3" ht="12.75">
      <c r="A53" s="422">
        <v>131</v>
      </c>
      <c r="B53" s="422">
        <v>330</v>
      </c>
      <c r="C53" s="343">
        <v>1290000</v>
      </c>
    </row>
    <row r="54" spans="1:4" ht="12.75">
      <c r="A54" s="422">
        <v>112</v>
      </c>
      <c r="B54" s="424">
        <v>330</v>
      </c>
      <c r="C54" s="343">
        <v>25000</v>
      </c>
      <c r="D54" s="346">
        <f>SUM(C51:C54)</f>
        <v>2809100</v>
      </c>
    </row>
    <row r="55" spans="1:4" ht="12.75">
      <c r="A55" s="422">
        <v>112</v>
      </c>
      <c r="B55" s="424">
        <v>340</v>
      </c>
      <c r="C55" s="343">
        <v>110000</v>
      </c>
      <c r="D55" s="346"/>
    </row>
    <row r="56" spans="1:3" ht="12.75">
      <c r="A56" s="422">
        <v>112</v>
      </c>
      <c r="B56" s="424">
        <v>340</v>
      </c>
      <c r="C56" s="343">
        <v>200000</v>
      </c>
    </row>
    <row r="57" spans="1:3" ht="12.75">
      <c r="A57" s="422">
        <v>112</v>
      </c>
      <c r="B57" s="424">
        <v>340</v>
      </c>
      <c r="C57" s="343">
        <v>40000</v>
      </c>
    </row>
    <row r="58" spans="1:3" ht="12.75">
      <c r="A58" s="422">
        <v>112</v>
      </c>
      <c r="B58" s="424">
        <v>340</v>
      </c>
      <c r="C58" s="343">
        <v>38000</v>
      </c>
    </row>
    <row r="59" spans="1:3" ht="12.75">
      <c r="A59" s="422">
        <v>112</v>
      </c>
      <c r="B59" s="424">
        <v>340</v>
      </c>
      <c r="C59" s="343">
        <v>35000</v>
      </c>
    </row>
    <row r="60" spans="1:3" ht="12.75">
      <c r="A60" s="422">
        <v>112</v>
      </c>
      <c r="B60" s="424">
        <v>340</v>
      </c>
      <c r="C60" s="343">
        <v>57500</v>
      </c>
    </row>
    <row r="61" spans="1:3" ht="12.75">
      <c r="A61" s="422">
        <v>112</v>
      </c>
      <c r="B61" s="424">
        <v>340</v>
      </c>
      <c r="C61" s="343">
        <v>34000</v>
      </c>
    </row>
    <row r="62" spans="1:4" ht="12.75">
      <c r="A62" s="422">
        <v>121</v>
      </c>
      <c r="B62" s="424">
        <v>340</v>
      </c>
      <c r="C62" s="343">
        <v>1350000</v>
      </c>
      <c r="D62" s="347"/>
    </row>
    <row r="63" spans="1:4" ht="12.75">
      <c r="A63" s="422">
        <v>121</v>
      </c>
      <c r="B63" s="424">
        <v>340</v>
      </c>
      <c r="C63" s="343">
        <v>1400000</v>
      </c>
      <c r="D63" s="347"/>
    </row>
    <row r="64" spans="1:3" ht="12.75">
      <c r="A64" s="422">
        <v>130</v>
      </c>
      <c r="B64" s="422">
        <v>340</v>
      </c>
      <c r="C64" s="343">
        <v>1400000</v>
      </c>
    </row>
    <row r="65" spans="1:3" ht="12.75">
      <c r="A65" s="422">
        <v>137</v>
      </c>
      <c r="B65" s="422">
        <v>340</v>
      </c>
      <c r="C65" s="343">
        <v>494050</v>
      </c>
    </row>
    <row r="66" spans="1:3" ht="12.75">
      <c r="A66" s="503">
        <v>114</v>
      </c>
      <c r="B66" s="503">
        <v>340</v>
      </c>
      <c r="C66" s="504">
        <v>1395000</v>
      </c>
    </row>
    <row r="67" spans="1:3" ht="12.75">
      <c r="A67" s="503">
        <v>140</v>
      </c>
      <c r="B67" s="503">
        <v>340</v>
      </c>
      <c r="C67" s="504">
        <v>1400000</v>
      </c>
    </row>
    <row r="68" spans="1:3" ht="12.75">
      <c r="A68" s="503">
        <v>141</v>
      </c>
      <c r="B68" s="503">
        <v>340</v>
      </c>
      <c r="C68" s="504">
        <v>1400000</v>
      </c>
    </row>
    <row r="69" spans="1:3" ht="12.75">
      <c r="A69" s="503">
        <v>144</v>
      </c>
      <c r="B69" s="503">
        <v>340</v>
      </c>
      <c r="C69" s="504">
        <v>1400000</v>
      </c>
    </row>
    <row r="70" spans="1:3" ht="12.75">
      <c r="A70" s="503">
        <v>145</v>
      </c>
      <c r="B70" s="503">
        <v>340</v>
      </c>
      <c r="C70" s="504">
        <v>1400000</v>
      </c>
    </row>
    <row r="71" spans="1:3" ht="12.75">
      <c r="A71" s="422">
        <v>148</v>
      </c>
      <c r="B71" s="422">
        <v>340</v>
      </c>
      <c r="C71" s="343">
        <v>1100000</v>
      </c>
    </row>
    <row r="72" spans="1:4" ht="12.75">
      <c r="A72" s="422">
        <v>129</v>
      </c>
      <c r="B72" s="422">
        <v>340</v>
      </c>
      <c r="C72" s="343">
        <v>1400000</v>
      </c>
      <c r="D72" s="346">
        <f>SUM(C55:C72)</f>
        <v>14653550</v>
      </c>
    </row>
    <row r="73" spans="1:3" ht="12.75">
      <c r="A73" s="422">
        <v>112</v>
      </c>
      <c r="B73" s="424">
        <v>390</v>
      </c>
      <c r="C73" s="343">
        <v>24000</v>
      </c>
    </row>
    <row r="74" spans="1:3" ht="12.75">
      <c r="A74" s="422">
        <v>112</v>
      </c>
      <c r="B74" s="424">
        <v>390</v>
      </c>
      <c r="C74" s="343">
        <v>44500</v>
      </c>
    </row>
    <row r="75" spans="1:3" ht="12.75">
      <c r="A75" s="422">
        <v>112</v>
      </c>
      <c r="B75" s="424">
        <v>390</v>
      </c>
      <c r="C75" s="343">
        <v>44500</v>
      </c>
    </row>
    <row r="76" spans="1:4" ht="12.75">
      <c r="A76" s="422">
        <v>113</v>
      </c>
      <c r="B76" s="422">
        <v>390</v>
      </c>
      <c r="C76" s="343">
        <v>1400000</v>
      </c>
      <c r="D76" s="346">
        <f>SUM(C73:C76)</f>
        <v>1513000</v>
      </c>
    </row>
    <row r="77" spans="1:4" ht="12.75">
      <c r="A77" s="422">
        <v>118</v>
      </c>
      <c r="B77" s="422">
        <v>833</v>
      </c>
      <c r="C77" s="343">
        <v>485452</v>
      </c>
      <c r="D77" s="346">
        <f>+C77</f>
        <v>485452</v>
      </c>
    </row>
    <row r="78" spans="1:4" ht="12.75">
      <c r="A78" s="422">
        <v>117</v>
      </c>
      <c r="B78" s="422">
        <v>834</v>
      </c>
      <c r="C78" s="343">
        <v>485452</v>
      </c>
      <c r="D78" s="346">
        <f>+C78</f>
        <v>485452</v>
      </c>
    </row>
    <row r="79" spans="1:4" ht="12.75">
      <c r="A79" s="422">
        <v>119</v>
      </c>
      <c r="B79" s="422">
        <v>839</v>
      </c>
      <c r="C79" s="343">
        <v>2338061</v>
      </c>
      <c r="D79" s="346">
        <f>+C79</f>
        <v>2338061</v>
      </c>
    </row>
    <row r="80" spans="1:4" ht="12.75">
      <c r="A80" s="422">
        <v>132</v>
      </c>
      <c r="B80" s="422">
        <v>890</v>
      </c>
      <c r="C80" s="343">
        <v>1120000</v>
      </c>
      <c r="D80" s="346">
        <f>+C80</f>
        <v>1120000</v>
      </c>
    </row>
    <row r="81" spans="1:2" ht="12.75">
      <c r="A81" s="422">
        <v>139</v>
      </c>
      <c r="B81" s="422" t="s">
        <v>545</v>
      </c>
    </row>
    <row r="82" spans="1:2" ht="12.75">
      <c r="A82" s="422">
        <v>143</v>
      </c>
      <c r="B82" s="422" t="s">
        <v>545</v>
      </c>
    </row>
    <row r="83" spans="1:2" ht="12.75">
      <c r="A83" s="422">
        <v>154</v>
      </c>
      <c r="B83" s="422" t="s">
        <v>545</v>
      </c>
    </row>
    <row r="84" spans="1:2" ht="12.75">
      <c r="A84" s="422">
        <v>110</v>
      </c>
      <c r="B84" s="425"/>
    </row>
    <row r="85" spans="1:2" ht="12.75">
      <c r="A85" s="422">
        <v>147</v>
      </c>
      <c r="B85" s="425"/>
    </row>
    <row r="86" spans="1:2" ht="12.75">
      <c r="A86" s="422">
        <v>153</v>
      </c>
      <c r="B86" s="425"/>
    </row>
    <row r="87" spans="3:5" ht="12.75">
      <c r="C87" s="343">
        <f>SUM(C3:C86)</f>
        <v>152543515</v>
      </c>
      <c r="D87" s="343">
        <f>SUM(D3:D86)</f>
        <v>155025158</v>
      </c>
      <c r="E87" s="343">
        <f>+C87-D87</f>
        <v>-2481643</v>
      </c>
    </row>
    <row r="88" ht="12.75">
      <c r="C88" s="343">
        <v>155025158</v>
      </c>
    </row>
    <row r="89" spans="3:7" ht="12.75">
      <c r="C89" s="343">
        <f>+C87-C88</f>
        <v>-2481643</v>
      </c>
      <c r="F89" s="178"/>
      <c r="G89" s="470"/>
    </row>
    <row r="90" spans="6:7" ht="12.75">
      <c r="F90" s="471"/>
      <c r="G90" s="472"/>
    </row>
    <row r="91" spans="2:7" ht="12.75">
      <c r="B91" s="423" t="s">
        <v>515</v>
      </c>
      <c r="F91" s="471"/>
      <c r="G91" s="472"/>
    </row>
    <row r="92" spans="1:7" ht="12.75">
      <c r="A92" s="422">
        <v>158</v>
      </c>
      <c r="B92" s="426" t="s">
        <v>582</v>
      </c>
      <c r="C92" s="343">
        <v>2481643</v>
      </c>
      <c r="F92" s="473"/>
      <c r="G92" s="472"/>
    </row>
    <row r="93" spans="1:7" ht="12.75">
      <c r="A93" s="422">
        <v>184</v>
      </c>
      <c r="B93" s="426" t="s">
        <v>582</v>
      </c>
      <c r="C93" s="343">
        <v>2348309</v>
      </c>
      <c r="F93" s="456"/>
      <c r="G93" s="345"/>
    </row>
    <row r="94" spans="1:7" ht="12.75">
      <c r="A94" s="458">
        <v>174</v>
      </c>
      <c r="B94" s="458">
        <v>111</v>
      </c>
      <c r="C94" s="459">
        <v>1496812</v>
      </c>
      <c r="D94" s="460"/>
      <c r="F94" s="471"/>
      <c r="G94" s="472"/>
    </row>
    <row r="95" spans="1:7" ht="12.75">
      <c r="A95" s="458">
        <v>175</v>
      </c>
      <c r="B95" s="458">
        <v>111</v>
      </c>
      <c r="C95" s="459">
        <v>8827317</v>
      </c>
      <c r="D95" s="461">
        <f>SUM(C92:C95)</f>
        <v>15154081</v>
      </c>
      <c r="F95" s="471"/>
      <c r="G95" s="472"/>
    </row>
    <row r="96" spans="1:7" ht="12.75">
      <c r="A96" s="422">
        <v>173</v>
      </c>
      <c r="B96" s="422">
        <v>112</v>
      </c>
      <c r="C96" s="343">
        <v>5808000</v>
      </c>
      <c r="D96" s="346">
        <f>+C96</f>
        <v>5808000</v>
      </c>
      <c r="F96" s="471"/>
      <c r="G96" s="472"/>
    </row>
    <row r="97" spans="1:7" ht="12.75">
      <c r="A97" s="422">
        <v>175</v>
      </c>
      <c r="B97" s="422">
        <v>113</v>
      </c>
      <c r="C97" s="345">
        <v>3861000</v>
      </c>
      <c r="D97" s="346">
        <f>+C97</f>
        <v>3861000</v>
      </c>
      <c r="F97" s="471"/>
      <c r="G97" s="472"/>
    </row>
    <row r="98" spans="1:7" ht="12.75">
      <c r="A98" s="422">
        <v>158</v>
      </c>
      <c r="B98" s="422">
        <v>134</v>
      </c>
      <c r="C98" s="343">
        <v>1080896</v>
      </c>
      <c r="F98" s="473"/>
      <c r="G98" s="472"/>
    </row>
    <row r="99" spans="1:7" ht="12.75">
      <c r="A99" s="422">
        <v>184</v>
      </c>
      <c r="B99" s="422">
        <v>134</v>
      </c>
      <c r="C99" s="343">
        <v>1280896</v>
      </c>
      <c r="D99" s="346">
        <f>+C99+C98</f>
        <v>2361792</v>
      </c>
      <c r="F99" s="456"/>
      <c r="G99" s="345"/>
    </row>
    <row r="100" spans="1:7" ht="12.75">
      <c r="A100" s="422">
        <v>160</v>
      </c>
      <c r="B100" s="422">
        <v>144</v>
      </c>
      <c r="C100" s="343">
        <v>1600000</v>
      </c>
      <c r="F100" s="473"/>
      <c r="G100" s="472"/>
    </row>
    <row r="101" spans="1:7" ht="12.75">
      <c r="A101" s="422">
        <v>176</v>
      </c>
      <c r="B101" s="422">
        <v>144</v>
      </c>
      <c r="C101" s="343">
        <v>9100000</v>
      </c>
      <c r="D101" s="346">
        <f>+C101+C100</f>
        <v>10700000</v>
      </c>
      <c r="F101" s="471"/>
      <c r="G101" s="472"/>
    </row>
    <row r="102" spans="1:7" ht="12.75">
      <c r="A102" s="422">
        <v>177</v>
      </c>
      <c r="B102" s="422">
        <v>145</v>
      </c>
      <c r="C102" s="343">
        <v>13000000</v>
      </c>
      <c r="F102" s="471"/>
      <c r="G102" s="472"/>
    </row>
    <row r="103" spans="1:7" ht="12.75">
      <c r="A103" s="422">
        <v>181</v>
      </c>
      <c r="B103" s="422">
        <v>145</v>
      </c>
      <c r="C103" s="343">
        <v>3250000</v>
      </c>
      <c r="D103" s="346"/>
      <c r="F103" s="456"/>
      <c r="G103" s="345"/>
    </row>
    <row r="104" spans="1:7" ht="12.75">
      <c r="A104" s="422">
        <v>182</v>
      </c>
      <c r="B104" s="422">
        <v>145</v>
      </c>
      <c r="C104" s="343">
        <v>2000000</v>
      </c>
      <c r="D104" s="346">
        <f>+C104+C103+C102</f>
        <v>18250000</v>
      </c>
      <c r="E104" s="343">
        <f>SUM(D95:D104)</f>
        <v>56134873</v>
      </c>
      <c r="F104" s="456"/>
      <c r="G104" s="345"/>
    </row>
    <row r="105" spans="1:7" ht="12.75">
      <c r="A105" s="422">
        <v>161</v>
      </c>
      <c r="B105" s="422">
        <v>210</v>
      </c>
      <c r="C105" s="343">
        <v>917313</v>
      </c>
      <c r="F105" s="473"/>
      <c r="G105" s="472"/>
    </row>
    <row r="106" spans="1:7" ht="12.75">
      <c r="A106" s="422">
        <v>178</v>
      </c>
      <c r="B106" s="422">
        <v>210</v>
      </c>
      <c r="C106" s="343">
        <v>170000</v>
      </c>
      <c r="D106" s="346">
        <f>+C106+C105</f>
        <v>1087313</v>
      </c>
      <c r="F106" s="471"/>
      <c r="G106" s="472"/>
    </row>
    <row r="107" spans="1:7" ht="12.75">
      <c r="A107" s="422">
        <v>163</v>
      </c>
      <c r="B107" s="425">
        <v>230</v>
      </c>
      <c r="C107" s="344">
        <v>320000</v>
      </c>
      <c r="D107" s="346">
        <f>+C107</f>
        <v>320000</v>
      </c>
      <c r="F107" s="471"/>
      <c r="G107" s="472"/>
    </row>
    <row r="108" spans="1:7" ht="12.75">
      <c r="A108" s="422">
        <v>157</v>
      </c>
      <c r="B108" s="422">
        <v>240</v>
      </c>
      <c r="C108" s="343">
        <v>1350000</v>
      </c>
      <c r="F108" s="473"/>
      <c r="G108" s="472"/>
    </row>
    <row r="109" spans="1:7" ht="12.75">
      <c r="A109" s="422">
        <v>163</v>
      </c>
      <c r="B109" s="425">
        <v>240</v>
      </c>
      <c r="C109" s="344">
        <v>1017000</v>
      </c>
      <c r="F109" s="471"/>
      <c r="G109" s="472"/>
    </row>
    <row r="110" spans="1:7" ht="12.75">
      <c r="A110" s="422">
        <v>169</v>
      </c>
      <c r="B110" s="425">
        <v>240</v>
      </c>
      <c r="C110" s="344">
        <v>1400000</v>
      </c>
      <c r="F110" s="471"/>
      <c r="G110" s="472"/>
    </row>
    <row r="111" spans="1:7" ht="12.75">
      <c r="A111" s="422">
        <v>169</v>
      </c>
      <c r="B111" s="425">
        <v>240</v>
      </c>
      <c r="C111" s="344">
        <v>1400000</v>
      </c>
      <c r="F111" s="471"/>
      <c r="G111" s="472"/>
    </row>
    <row r="112" spans="1:7" ht="12.75">
      <c r="A112" s="422">
        <v>171</v>
      </c>
      <c r="B112" s="422">
        <v>240</v>
      </c>
      <c r="C112" s="343">
        <v>1395000</v>
      </c>
      <c r="F112" s="471"/>
      <c r="G112" s="472"/>
    </row>
    <row r="113" spans="1:3" ht="12.75">
      <c r="A113" s="427">
        <v>192</v>
      </c>
      <c r="B113" s="422">
        <v>240</v>
      </c>
      <c r="C113" s="343">
        <v>1390000</v>
      </c>
    </row>
    <row r="114" spans="1:4" ht="12.75">
      <c r="A114" s="427">
        <v>193</v>
      </c>
      <c r="B114" s="422">
        <v>240</v>
      </c>
      <c r="C114" s="343">
        <v>1400000</v>
      </c>
      <c r="D114" s="346">
        <f>SUM(C108:C114)</f>
        <v>9352000</v>
      </c>
    </row>
    <row r="115" spans="1:7" ht="12.75">
      <c r="A115" s="422">
        <v>162</v>
      </c>
      <c r="B115" s="422">
        <v>250</v>
      </c>
      <c r="C115" s="343">
        <v>332168</v>
      </c>
      <c r="D115" s="346">
        <f>+C115</f>
        <v>332168</v>
      </c>
      <c r="F115" s="471"/>
      <c r="G115" s="472"/>
    </row>
    <row r="116" spans="1:7" ht="12.75">
      <c r="A116" s="422">
        <v>163</v>
      </c>
      <c r="B116" s="425">
        <v>260</v>
      </c>
      <c r="C116" s="344">
        <v>470000</v>
      </c>
      <c r="F116" s="471"/>
      <c r="G116" s="472"/>
    </row>
    <row r="117" spans="1:7" ht="12.75">
      <c r="A117" s="422">
        <v>163</v>
      </c>
      <c r="B117" s="425">
        <v>260</v>
      </c>
      <c r="C117" s="344">
        <v>1361858</v>
      </c>
      <c r="F117" s="471"/>
      <c r="G117" s="472"/>
    </row>
    <row r="118" spans="1:7" ht="12.75">
      <c r="A118" s="422">
        <v>168</v>
      </c>
      <c r="B118" s="422">
        <v>260</v>
      </c>
      <c r="C118" s="343">
        <v>2229835</v>
      </c>
      <c r="F118" s="471"/>
      <c r="G118" s="472"/>
    </row>
    <row r="119" spans="1:7" ht="12.75">
      <c r="A119" s="422">
        <v>169</v>
      </c>
      <c r="B119" s="425">
        <v>260</v>
      </c>
      <c r="C119" s="344">
        <v>1370000</v>
      </c>
      <c r="F119" s="471"/>
      <c r="G119" s="472"/>
    </row>
    <row r="120" spans="1:7" ht="12.75">
      <c r="A120" s="422">
        <v>169</v>
      </c>
      <c r="B120" s="425">
        <v>260</v>
      </c>
      <c r="C120" s="344">
        <v>1260000</v>
      </c>
      <c r="F120" s="471"/>
      <c r="G120" s="472"/>
    </row>
    <row r="121" spans="1:4" ht="12.75">
      <c r="A121" s="427"/>
      <c r="B121" s="422">
        <v>260</v>
      </c>
      <c r="C121" s="343">
        <v>5500</v>
      </c>
      <c r="D121" s="346">
        <f>SUM(C116:C121)</f>
        <v>6697193</v>
      </c>
    </row>
    <row r="122" spans="1:7" ht="12.75">
      <c r="A122" s="422">
        <v>163</v>
      </c>
      <c r="B122" s="425">
        <v>280</v>
      </c>
      <c r="C122" s="344">
        <v>90000</v>
      </c>
      <c r="F122" s="471"/>
      <c r="G122" s="472"/>
    </row>
    <row r="123" spans="1:7" ht="12.75">
      <c r="A123" s="422">
        <v>163</v>
      </c>
      <c r="B123" s="425">
        <v>280</v>
      </c>
      <c r="C123" s="344">
        <v>37000</v>
      </c>
      <c r="F123" s="473"/>
      <c r="G123" s="472"/>
    </row>
    <row r="124" spans="1:7" ht="12.75">
      <c r="A124" s="422">
        <v>163</v>
      </c>
      <c r="B124" s="425">
        <v>280</v>
      </c>
      <c r="C124" s="344">
        <v>69000</v>
      </c>
      <c r="F124" s="473"/>
      <c r="G124" s="472"/>
    </row>
    <row r="125" spans="1:7" ht="12.75">
      <c r="A125" s="422">
        <v>163</v>
      </c>
      <c r="B125" s="425">
        <v>280</v>
      </c>
      <c r="C125" s="344">
        <v>50000</v>
      </c>
      <c r="F125" s="473"/>
      <c r="G125" s="472"/>
    </row>
    <row r="126" spans="1:7" ht="12.75">
      <c r="A126" s="422">
        <v>163</v>
      </c>
      <c r="B126" s="425">
        <v>280</v>
      </c>
      <c r="C126" s="344">
        <v>10500</v>
      </c>
      <c r="F126" s="473"/>
      <c r="G126" s="472"/>
    </row>
    <row r="127" spans="1:7" ht="12.75">
      <c r="A127" s="422">
        <v>163</v>
      </c>
      <c r="B127" s="425">
        <v>280</v>
      </c>
      <c r="C127" s="344">
        <v>10000</v>
      </c>
      <c r="F127" s="473"/>
      <c r="G127" s="472"/>
    </row>
    <row r="128" spans="1:7" ht="12.75">
      <c r="A128" s="422">
        <v>163</v>
      </c>
      <c r="B128" s="425">
        <v>280</v>
      </c>
      <c r="C128" s="344">
        <v>68000</v>
      </c>
      <c r="F128" s="473"/>
      <c r="G128" s="472"/>
    </row>
    <row r="129" spans="1:7" ht="12.75">
      <c r="A129" s="422">
        <v>163</v>
      </c>
      <c r="B129" s="425">
        <v>280</v>
      </c>
      <c r="C129" s="344">
        <v>64000</v>
      </c>
      <c r="F129" s="473"/>
      <c r="G129" s="472"/>
    </row>
    <row r="130" spans="1:7" ht="12.75">
      <c r="A130" s="422">
        <v>163</v>
      </c>
      <c r="B130" s="425">
        <v>280</v>
      </c>
      <c r="C130" s="344">
        <v>24000</v>
      </c>
      <c r="F130" s="473"/>
      <c r="G130" s="472"/>
    </row>
    <row r="131" spans="1:7" ht="12.75">
      <c r="A131" s="422">
        <v>163</v>
      </c>
      <c r="B131" s="425">
        <v>280</v>
      </c>
      <c r="C131" s="344">
        <v>49500</v>
      </c>
      <c r="F131" s="473"/>
      <c r="G131" s="472"/>
    </row>
    <row r="132" spans="1:7" ht="12.75">
      <c r="A132" s="422">
        <v>163</v>
      </c>
      <c r="B132" s="425">
        <v>280</v>
      </c>
      <c r="C132" s="344">
        <v>24400</v>
      </c>
      <c r="F132" s="473"/>
      <c r="G132" s="472"/>
    </row>
    <row r="133" spans="1:7" ht="12.75">
      <c r="A133" s="422">
        <v>163</v>
      </c>
      <c r="B133" s="425">
        <v>280</v>
      </c>
      <c r="C133" s="344">
        <v>58000</v>
      </c>
      <c r="F133" s="473"/>
      <c r="G133" s="472"/>
    </row>
    <row r="134" spans="1:7" ht="12.75">
      <c r="A134" s="422">
        <v>163</v>
      </c>
      <c r="B134" s="425">
        <v>280</v>
      </c>
      <c r="C134" s="344">
        <v>44000</v>
      </c>
      <c r="F134" s="473"/>
      <c r="G134" s="472"/>
    </row>
    <row r="135" spans="1:7" ht="12.75">
      <c r="A135" s="422">
        <v>163</v>
      </c>
      <c r="B135" s="425">
        <v>280</v>
      </c>
      <c r="C135" s="344">
        <v>49000</v>
      </c>
      <c r="F135" s="473"/>
      <c r="G135" s="472"/>
    </row>
    <row r="136" spans="1:7" ht="12.75">
      <c r="A136" s="422">
        <v>163</v>
      </c>
      <c r="B136" s="425">
        <v>280</v>
      </c>
      <c r="C136" s="344">
        <v>74540</v>
      </c>
      <c r="F136" s="473"/>
      <c r="G136" s="472"/>
    </row>
    <row r="137" spans="1:7" ht="12.75">
      <c r="A137" s="422">
        <v>163</v>
      </c>
      <c r="B137" s="425">
        <v>280</v>
      </c>
      <c r="C137" s="344">
        <v>50700</v>
      </c>
      <c r="F137" s="473"/>
      <c r="G137" s="472"/>
    </row>
    <row r="138" spans="1:7" ht="12.75">
      <c r="A138" s="422">
        <v>163</v>
      </c>
      <c r="B138" s="425">
        <v>280</v>
      </c>
      <c r="C138" s="344">
        <v>118500</v>
      </c>
      <c r="F138" s="473"/>
      <c r="G138" s="472"/>
    </row>
    <row r="139" spans="1:7" ht="12.75">
      <c r="A139" s="422">
        <v>179</v>
      </c>
      <c r="B139" s="422">
        <v>280</v>
      </c>
      <c r="C139" s="343">
        <v>100000</v>
      </c>
      <c r="D139" s="346">
        <f>SUM(C122:C139)</f>
        <v>991140</v>
      </c>
      <c r="F139" s="471"/>
      <c r="G139" s="472"/>
    </row>
    <row r="140" spans="1:7" ht="12.75">
      <c r="A140" s="422">
        <v>163</v>
      </c>
      <c r="B140" s="425">
        <v>310</v>
      </c>
      <c r="C140" s="344">
        <v>9500</v>
      </c>
      <c r="F140" s="473"/>
      <c r="G140" s="472"/>
    </row>
    <row r="141" spans="1:7" ht="12.75">
      <c r="A141" s="422">
        <v>163</v>
      </c>
      <c r="B141" s="425">
        <v>310</v>
      </c>
      <c r="C141" s="344">
        <v>11500</v>
      </c>
      <c r="D141" s="346">
        <f>+C141+C140</f>
        <v>21000</v>
      </c>
      <c r="F141" s="473"/>
      <c r="G141" s="472"/>
    </row>
    <row r="142" spans="1:7" ht="12.75">
      <c r="A142" s="422">
        <v>156</v>
      </c>
      <c r="B142" s="422">
        <v>330</v>
      </c>
      <c r="C142" s="343">
        <v>1350000</v>
      </c>
      <c r="F142" s="473"/>
      <c r="G142" s="472"/>
    </row>
    <row r="143" spans="1:7" ht="12.75">
      <c r="A143" s="422">
        <v>163</v>
      </c>
      <c r="B143" s="425">
        <v>330</v>
      </c>
      <c r="C143" s="344">
        <v>228000</v>
      </c>
      <c r="F143" s="473"/>
      <c r="G143" s="472"/>
    </row>
    <row r="144" spans="1:7" ht="12.75">
      <c r="A144" s="422">
        <v>169</v>
      </c>
      <c r="B144" s="425">
        <v>330</v>
      </c>
      <c r="C144" s="344">
        <v>1400000</v>
      </c>
      <c r="F144" s="471"/>
      <c r="G144" s="472"/>
    </row>
    <row r="145" spans="1:7" ht="12.75">
      <c r="A145" s="422">
        <v>170</v>
      </c>
      <c r="B145" s="422">
        <v>330</v>
      </c>
      <c r="C145" s="343">
        <v>750000</v>
      </c>
      <c r="F145" s="471"/>
      <c r="G145" s="472"/>
    </row>
    <row r="146" spans="1:7" ht="12.75">
      <c r="A146" s="427">
        <v>187</v>
      </c>
      <c r="B146" s="422">
        <v>330</v>
      </c>
      <c r="C146" s="343">
        <v>1385000</v>
      </c>
      <c r="D146" s="346">
        <f>SUM(C142:C146)</f>
        <v>5113000</v>
      </c>
      <c r="F146" s="456"/>
      <c r="G146" s="345"/>
    </row>
    <row r="147" spans="1:7" ht="12.75">
      <c r="A147" s="422">
        <v>163</v>
      </c>
      <c r="B147" s="425">
        <v>340</v>
      </c>
      <c r="C147" s="344">
        <v>92470</v>
      </c>
      <c r="F147" s="473"/>
      <c r="G147" s="472"/>
    </row>
    <row r="148" spans="1:7" ht="12.75">
      <c r="A148" s="422">
        <v>163</v>
      </c>
      <c r="B148" s="425">
        <v>340</v>
      </c>
      <c r="C148" s="344">
        <v>126975</v>
      </c>
      <c r="F148" s="473"/>
      <c r="G148" s="472"/>
    </row>
    <row r="149" spans="1:7" ht="12.75">
      <c r="A149" s="422">
        <v>163</v>
      </c>
      <c r="B149" s="425">
        <v>340</v>
      </c>
      <c r="C149" s="344">
        <v>60500</v>
      </c>
      <c r="F149" s="473"/>
      <c r="G149" s="472"/>
    </row>
    <row r="150" spans="1:7" ht="12.75">
      <c r="A150" s="422">
        <v>163</v>
      </c>
      <c r="B150" s="425">
        <v>340</v>
      </c>
      <c r="C150" s="344">
        <v>507000</v>
      </c>
      <c r="F150" s="473"/>
      <c r="G150" s="472"/>
    </row>
    <row r="151" spans="1:7" ht="12.75">
      <c r="A151" s="422">
        <v>163</v>
      </c>
      <c r="B151" s="425">
        <v>340</v>
      </c>
      <c r="C151" s="344">
        <v>35000</v>
      </c>
      <c r="F151" s="473"/>
      <c r="G151" s="472"/>
    </row>
    <row r="152" spans="1:7" ht="12.75">
      <c r="A152" s="422">
        <v>163</v>
      </c>
      <c r="B152" s="425">
        <v>340</v>
      </c>
      <c r="C152" s="344">
        <v>35000</v>
      </c>
      <c r="F152" s="473"/>
      <c r="G152" s="472"/>
    </row>
    <row r="153" spans="1:7" ht="12.75">
      <c r="A153" s="422">
        <v>163</v>
      </c>
      <c r="B153" s="425">
        <v>340</v>
      </c>
      <c r="C153" s="344">
        <v>338400</v>
      </c>
      <c r="F153" s="473"/>
      <c r="G153" s="472"/>
    </row>
    <row r="154" spans="1:7" ht="12.75">
      <c r="A154" s="422">
        <v>163</v>
      </c>
      <c r="B154" s="425">
        <v>340</v>
      </c>
      <c r="C154" s="344">
        <v>39800</v>
      </c>
      <c r="F154" s="473"/>
      <c r="G154" s="472"/>
    </row>
    <row r="155" spans="1:7" ht="12.75">
      <c r="A155" s="422">
        <v>163</v>
      </c>
      <c r="B155" s="425">
        <v>340</v>
      </c>
      <c r="C155" s="344">
        <f>1361857</f>
        <v>1361857</v>
      </c>
      <c r="F155" s="473"/>
      <c r="G155" s="472"/>
    </row>
    <row r="156" spans="1:7" ht="12.75">
      <c r="A156" s="422">
        <v>163</v>
      </c>
      <c r="B156" s="425">
        <v>340</v>
      </c>
      <c r="C156" s="344">
        <v>56000</v>
      </c>
      <c r="F156" s="473"/>
      <c r="G156" s="472"/>
    </row>
    <row r="157" spans="1:7" ht="12.75">
      <c r="A157" s="422">
        <v>169</v>
      </c>
      <c r="B157" s="425">
        <v>340</v>
      </c>
      <c r="C157" s="344">
        <v>170000</v>
      </c>
      <c r="D157" s="346"/>
      <c r="F157" s="471"/>
      <c r="G157" s="472"/>
    </row>
    <row r="158" spans="1:7" ht="12.75">
      <c r="A158" s="422">
        <v>172</v>
      </c>
      <c r="B158" s="422">
        <v>340</v>
      </c>
      <c r="C158" s="343">
        <v>450000</v>
      </c>
      <c r="F158" s="471"/>
      <c r="G158" s="472"/>
    </row>
    <row r="159" spans="1:7" ht="12.75">
      <c r="A159" s="422">
        <v>179</v>
      </c>
      <c r="B159" s="422">
        <v>340</v>
      </c>
      <c r="C159" s="343">
        <v>1400000</v>
      </c>
      <c r="F159" s="471"/>
      <c r="G159" s="472"/>
    </row>
    <row r="160" spans="1:4" ht="12.75">
      <c r="A160" s="427">
        <v>191</v>
      </c>
      <c r="B160" s="422">
        <v>349</v>
      </c>
      <c r="C160" s="343">
        <v>1400000</v>
      </c>
      <c r="D160" s="346">
        <f>SUM(C147:C160)</f>
        <v>6073002</v>
      </c>
    </row>
    <row r="161" spans="1:7" ht="12.75">
      <c r="A161" s="422">
        <v>163</v>
      </c>
      <c r="B161" s="425">
        <v>390</v>
      </c>
      <c r="C161" s="344">
        <v>38000</v>
      </c>
      <c r="F161" s="471"/>
      <c r="G161" s="472"/>
    </row>
    <row r="162" spans="1:7" ht="12.75">
      <c r="A162" s="422">
        <v>167</v>
      </c>
      <c r="B162" s="422">
        <v>390</v>
      </c>
      <c r="C162" s="343">
        <v>1320000</v>
      </c>
      <c r="F162" s="471"/>
      <c r="G162" s="472"/>
    </row>
    <row r="163" spans="1:7" ht="12.75">
      <c r="A163" s="422">
        <v>183</v>
      </c>
      <c r="B163" s="422">
        <v>390</v>
      </c>
      <c r="C163" s="343">
        <v>500000</v>
      </c>
      <c r="F163" s="456"/>
      <c r="G163" s="345"/>
    </row>
    <row r="164" spans="1:7" ht="12.75">
      <c r="A164" s="427">
        <v>186</v>
      </c>
      <c r="B164" s="422">
        <v>390</v>
      </c>
      <c r="C164" s="343">
        <v>1400000</v>
      </c>
      <c r="F164" s="456"/>
      <c r="G164" s="345"/>
    </row>
    <row r="165" spans="1:7" ht="12.75">
      <c r="A165" s="427">
        <v>188</v>
      </c>
      <c r="B165" s="422">
        <v>390</v>
      </c>
      <c r="C165" s="343">
        <v>515000</v>
      </c>
      <c r="F165" s="456"/>
      <c r="G165" s="345"/>
    </row>
    <row r="166" spans="1:4" ht="12.75">
      <c r="A166" s="427">
        <v>190</v>
      </c>
      <c r="B166" s="422">
        <v>390</v>
      </c>
      <c r="C166" s="343">
        <v>1400000</v>
      </c>
      <c r="D166" s="346">
        <f>SUM(C161:C166)</f>
        <v>5173000</v>
      </c>
    </row>
    <row r="167" spans="1:7" ht="12.75">
      <c r="A167" s="422">
        <v>164</v>
      </c>
      <c r="B167" s="422">
        <v>833</v>
      </c>
      <c r="C167" s="343">
        <v>4773120</v>
      </c>
      <c r="D167" s="346">
        <f>+C167</f>
        <v>4773120</v>
      </c>
      <c r="F167" s="471"/>
      <c r="G167" s="472"/>
    </row>
    <row r="168" spans="1:7" ht="12.75">
      <c r="A168" s="422">
        <v>180</v>
      </c>
      <c r="B168" s="422">
        <v>834</v>
      </c>
      <c r="C168" s="343">
        <v>4773120</v>
      </c>
      <c r="D168" s="346">
        <f>+C168</f>
        <v>4773120</v>
      </c>
      <c r="F168" s="471"/>
      <c r="G168" s="472"/>
    </row>
    <row r="169" spans="1:7" ht="12.75">
      <c r="A169" s="422">
        <v>159</v>
      </c>
      <c r="B169" s="422" t="s">
        <v>545</v>
      </c>
      <c r="F169" s="473"/>
      <c r="G169" s="472"/>
    </row>
    <row r="170" spans="1:7" ht="12.75">
      <c r="A170" s="422">
        <v>165</v>
      </c>
      <c r="B170" s="422" t="s">
        <v>545</v>
      </c>
      <c r="F170" s="471"/>
      <c r="G170" s="472"/>
    </row>
    <row r="171" spans="1:7" ht="12.75">
      <c r="A171" s="422">
        <v>166</v>
      </c>
      <c r="D171" s="346"/>
      <c r="F171" s="471"/>
      <c r="G171" s="472"/>
    </row>
    <row r="172" spans="1:8" ht="12.75">
      <c r="A172" s="426">
        <v>185</v>
      </c>
      <c r="B172" s="425"/>
      <c r="F172" s="456"/>
      <c r="G172" s="345"/>
      <c r="H172"/>
    </row>
    <row r="173" spans="1:8" ht="12.75">
      <c r="A173" s="427">
        <v>189</v>
      </c>
      <c r="B173" s="425"/>
      <c r="H173"/>
    </row>
    <row r="174" spans="3:8" ht="12.75">
      <c r="C174" s="343">
        <f>SUM(C92:C173)</f>
        <v>100840929</v>
      </c>
      <c r="D174" s="343">
        <f>SUM(D94:D173)</f>
        <v>100840929</v>
      </c>
      <c r="H174"/>
    </row>
    <row r="175" spans="3:8" ht="12.75">
      <c r="C175" s="343">
        <v>100835429</v>
      </c>
      <c r="H175"/>
    </row>
    <row r="176" spans="3:8" ht="12.75">
      <c r="C176" s="343">
        <f>+C174-C175</f>
        <v>5500</v>
      </c>
      <c r="H176"/>
    </row>
    <row r="182" spans="1:4" ht="12.75">
      <c r="A182" s="428" t="s">
        <v>561</v>
      </c>
      <c r="D182" s="347" t="s">
        <v>564</v>
      </c>
    </row>
    <row r="183" spans="1:5" ht="12.75">
      <c r="A183" s="428" t="s">
        <v>562</v>
      </c>
      <c r="B183" s="426" t="s">
        <v>563</v>
      </c>
      <c r="D183" s="428" t="s">
        <v>562</v>
      </c>
      <c r="E183" s="426" t="s">
        <v>563</v>
      </c>
    </row>
    <row r="184" spans="1:8" ht="12.75">
      <c r="A184" s="422">
        <v>17645741</v>
      </c>
      <c r="B184" s="422">
        <v>19269076</v>
      </c>
      <c r="D184">
        <v>5749881</v>
      </c>
      <c r="E184" s="343">
        <v>13990869</v>
      </c>
      <c r="G184" s="343">
        <f>+E184*30/100</f>
        <v>4197260.7</v>
      </c>
      <c r="H184" s="343">
        <f>+E184*70/100</f>
        <v>9793608.3</v>
      </c>
    </row>
    <row r="185" spans="1:8" ht="12.75">
      <c r="A185" s="422">
        <v>93865203</v>
      </c>
      <c r="B185" s="422">
        <v>77076305</v>
      </c>
      <c r="D185">
        <v>14581404</v>
      </c>
      <c r="E185" s="343">
        <v>5996086</v>
      </c>
      <c r="G185" s="343">
        <f>+E185*30/100</f>
        <v>1798825.8</v>
      </c>
      <c r="H185" s="343">
        <f>+E185*70/100</f>
        <v>4197260.2</v>
      </c>
    </row>
    <row r="186" spans="1:8" ht="12.75">
      <c r="A186" s="422">
        <v>39268241</v>
      </c>
      <c r="D186">
        <v>6249173</v>
      </c>
      <c r="G186" s="343">
        <f>+G184+G185</f>
        <v>5996086.5</v>
      </c>
      <c r="H186" s="343">
        <f>SUM(H184:H185)</f>
        <v>13990868.5</v>
      </c>
    </row>
    <row r="187" spans="1:4" ht="12.75">
      <c r="A187" s="422">
        <v>19013995</v>
      </c>
      <c r="D187">
        <v>14399405</v>
      </c>
    </row>
    <row r="188" spans="1:4" ht="12.75">
      <c r="A188" s="422">
        <v>37950938</v>
      </c>
      <c r="D188">
        <v>6171174</v>
      </c>
    </row>
    <row r="189" spans="1:4" ht="12.75">
      <c r="A189" s="422">
        <v>4411435</v>
      </c>
      <c r="D189">
        <v>14394502</v>
      </c>
    </row>
    <row r="190" spans="1:4" ht="12.75">
      <c r="A190" s="422">
        <v>76055981</v>
      </c>
      <c r="D190">
        <v>6169072</v>
      </c>
    </row>
    <row r="191" spans="1:4" ht="12.75">
      <c r="A191" s="422">
        <v>23466301</v>
      </c>
      <c r="D191">
        <v>94394847</v>
      </c>
    </row>
    <row r="192" spans="1:4" ht="12.75">
      <c r="A192" s="422">
        <v>9487735</v>
      </c>
      <c r="D192">
        <v>13416388</v>
      </c>
    </row>
    <row r="193" spans="1:8" ht="12.75">
      <c r="A193" s="422">
        <v>157072965</v>
      </c>
      <c r="D193">
        <v>40454935</v>
      </c>
      <c r="G193"/>
      <c r="H193"/>
    </row>
    <row r="194" spans="1:8" ht="12.75">
      <c r="A194" s="422">
        <f>SUM(A184:A193)</f>
        <v>478238535</v>
      </c>
      <c r="B194" s="422">
        <f>SUM(B184:B193)</f>
        <v>96345381</v>
      </c>
      <c r="C194" s="422">
        <f>+A194+B194</f>
        <v>574583916</v>
      </c>
      <c r="D194" s="422">
        <f>SUM(D184:D193)</f>
        <v>215980781</v>
      </c>
      <c r="E194" s="422">
        <f>SUM(E184:E193)</f>
        <v>19986955</v>
      </c>
      <c r="F194" s="346">
        <f>+D194+E194</f>
        <v>235967736</v>
      </c>
      <c r="G194"/>
      <c r="H194"/>
    </row>
    <row r="195" spans="1:8" ht="12.75">
      <c r="A195" s="422">
        <f>+A194*0.2</f>
        <v>95647707</v>
      </c>
      <c r="B195" s="422">
        <f>+B194*0.2</f>
        <v>19269076.2</v>
      </c>
      <c r="C195" s="422"/>
      <c r="D195" s="422">
        <f>+D194*0.3</f>
        <v>64794234.3</v>
      </c>
      <c r="E195" s="422">
        <f>+E194*0.3</f>
        <v>5996086.5</v>
      </c>
      <c r="F195">
        <v>87</v>
      </c>
      <c r="G195"/>
      <c r="H195"/>
    </row>
    <row r="196" spans="1:8" ht="12.75">
      <c r="A196" s="422">
        <f>+A194*0.8</f>
        <v>382590828</v>
      </c>
      <c r="B196" s="422">
        <f>+B194*0.8</f>
        <v>77076304.8</v>
      </c>
      <c r="C196" s="422"/>
      <c r="D196" s="422">
        <f>+D194*0.7</f>
        <v>151186546.7</v>
      </c>
      <c r="E196" s="422">
        <f>+E194*0.7</f>
        <v>13990868.5</v>
      </c>
      <c r="F196">
        <v>869</v>
      </c>
      <c r="G196"/>
      <c r="H196"/>
    </row>
    <row r="197" spans="6:8" ht="12.75">
      <c r="F197">
        <f>+F195+F196</f>
        <v>956</v>
      </c>
      <c r="G197"/>
      <c r="H197"/>
    </row>
    <row r="201" spans="1:8" ht="12.75">
      <c r="A201" s="426" t="s">
        <v>576</v>
      </c>
      <c r="G201"/>
      <c r="H201"/>
    </row>
    <row r="202" spans="1:8" ht="12.75">
      <c r="A202" s="343">
        <v>10808960</v>
      </c>
      <c r="B202" s="343"/>
      <c r="C202"/>
      <c r="E202"/>
      <c r="G202"/>
      <c r="H202"/>
    </row>
    <row r="203" spans="1:8" ht="12.75">
      <c r="A203" s="343">
        <f>+C154</f>
        <v>39800</v>
      </c>
      <c r="B203" s="343"/>
      <c r="C203"/>
      <c r="E203"/>
      <c r="G203"/>
      <c r="H203"/>
    </row>
    <row r="204" spans="1:8" ht="12.75">
      <c r="A204" s="343">
        <f>+A202-A203</f>
        <v>10769160</v>
      </c>
      <c r="B204" s="343"/>
      <c r="C204"/>
      <c r="E204"/>
      <c r="G204"/>
      <c r="H204"/>
    </row>
    <row r="205" spans="1:8" ht="12.75">
      <c r="A205" s="343"/>
      <c r="B205" s="343"/>
      <c r="C205"/>
      <c r="E205"/>
      <c r="G205"/>
      <c r="H205"/>
    </row>
    <row r="206" spans="1:8" ht="12.75">
      <c r="A206" s="343"/>
      <c r="B206" s="343"/>
      <c r="C206"/>
      <c r="E206"/>
      <c r="G206"/>
      <c r="H206"/>
    </row>
    <row r="207" spans="1:8" ht="12.75">
      <c r="A207" s="343">
        <v>4308960</v>
      </c>
      <c r="B207" s="343">
        <f>+A207*0.1</f>
        <v>430896</v>
      </c>
      <c r="C207" s="343">
        <f>+A207*1/12</f>
        <v>359080</v>
      </c>
      <c r="D207" s="343">
        <f>+A207-B207-C207</f>
        <v>3518984</v>
      </c>
      <c r="G207"/>
      <c r="H207"/>
    </row>
    <row r="208" spans="1:8" ht="12.75">
      <c r="A208" s="343">
        <v>3000000</v>
      </c>
      <c r="B208" s="343">
        <f>+A208*0.1</f>
        <v>300000</v>
      </c>
      <c r="C208" s="343">
        <f>+A208*1/12</f>
        <v>250000</v>
      </c>
      <c r="D208" s="343">
        <f>+A208-B208-C208</f>
        <v>2450000</v>
      </c>
      <c r="G208"/>
      <c r="H208"/>
    </row>
    <row r="209" spans="1:8" ht="12.75">
      <c r="A209" s="343">
        <v>3500000</v>
      </c>
      <c r="B209" s="343">
        <f>+A209*0.1</f>
        <v>350000</v>
      </c>
      <c r="C209" s="343">
        <f>+A209*1/12</f>
        <v>291666.6666666667</v>
      </c>
      <c r="D209" s="343">
        <f>+A209-B209-C209</f>
        <v>2858333.3333333335</v>
      </c>
      <c r="G209"/>
      <c r="H209"/>
    </row>
    <row r="210" spans="1:8" ht="12.75">
      <c r="A210" s="343"/>
      <c r="B210" s="343"/>
      <c r="D210" s="343"/>
      <c r="E210" s="343">
        <f>SUM(E207:E209)</f>
        <v>0</v>
      </c>
      <c r="G210"/>
      <c r="H210"/>
    </row>
    <row r="211" spans="1:8" ht="12.75">
      <c r="A211" s="343"/>
      <c r="B211" s="343"/>
      <c r="C211"/>
      <c r="G211"/>
      <c r="H211"/>
    </row>
    <row r="212" spans="1:8" ht="12.75">
      <c r="A212" s="343">
        <f>SUM(A207:A210)</f>
        <v>10808960</v>
      </c>
      <c r="B212" s="343">
        <f>SUM(B207:B210)</f>
        <v>1080896</v>
      </c>
      <c r="C212" s="343">
        <f>SUM(C207:C210)</f>
        <v>900746.6666666667</v>
      </c>
      <c r="D212" s="343">
        <f>SUM(D207:D210)</f>
        <v>8827317.333333334</v>
      </c>
      <c r="E212"/>
      <c r="G212"/>
      <c r="H212"/>
    </row>
    <row r="213" spans="1:8" ht="12.75">
      <c r="A213" s="343"/>
      <c r="B213" s="343"/>
      <c r="C213" s="343">
        <f>+B212+C212</f>
        <v>1981642.6666666667</v>
      </c>
      <c r="D213" s="343"/>
      <c r="E213"/>
      <c r="G213"/>
      <c r="H213"/>
    </row>
    <row r="214" spans="1:8" ht="12.75">
      <c r="A214" s="343"/>
      <c r="B214" s="343"/>
      <c r="C214" s="346">
        <f>+B212</f>
        <v>1080896</v>
      </c>
      <c r="E214"/>
      <c r="G214"/>
      <c r="H214"/>
    </row>
    <row r="215" spans="1:8" ht="12.75">
      <c r="A215" s="343"/>
      <c r="B215" s="343"/>
      <c r="C215" s="346">
        <f>+C213+C214</f>
        <v>3062538.666666667</v>
      </c>
      <c r="E215"/>
      <c r="G215"/>
      <c r="H215"/>
    </row>
    <row r="216" spans="1:8" ht="12.75">
      <c r="A216" s="343"/>
      <c r="B216" s="343"/>
      <c r="C216"/>
      <c r="E216"/>
      <c r="G216"/>
      <c r="H216"/>
    </row>
    <row r="217" spans="1:8" ht="12.75">
      <c r="A217" s="343"/>
      <c r="B217" s="343"/>
      <c r="C217"/>
      <c r="E217"/>
      <c r="G217"/>
      <c r="H217"/>
    </row>
    <row r="218" spans="1:8" ht="12.75">
      <c r="A218" s="343">
        <v>4308960</v>
      </c>
      <c r="B218" s="343">
        <f>+A218*0.1</f>
        <v>430896</v>
      </c>
      <c r="C218" s="343">
        <f>+A218*1/12</f>
        <v>359080</v>
      </c>
      <c r="D218" s="343">
        <f>+A218-B218-C218</f>
        <v>3518984</v>
      </c>
      <c r="E218"/>
      <c r="G218"/>
      <c r="H218"/>
    </row>
    <row r="219" spans="1:8" ht="12.75">
      <c r="A219" s="343">
        <v>3000000</v>
      </c>
      <c r="B219" s="343">
        <f>+A219*0.1</f>
        <v>300000</v>
      </c>
      <c r="C219" s="343">
        <f>+A219*1/12+500000</f>
        <v>750000</v>
      </c>
      <c r="D219" s="343">
        <f>+A219-B219-C219</f>
        <v>1950000</v>
      </c>
      <c r="E219"/>
      <c r="G219"/>
      <c r="H219"/>
    </row>
    <row r="220" spans="1:8" ht="12.75">
      <c r="A220" s="343">
        <v>3500000</v>
      </c>
      <c r="B220" s="343">
        <f>+A220*0.1</f>
        <v>350000</v>
      </c>
      <c r="C220" s="343">
        <f>+A220*1/12</f>
        <v>291666.6666666667</v>
      </c>
      <c r="D220" s="343">
        <f>+A220-B220-C220</f>
        <v>2858333.3333333335</v>
      </c>
      <c r="E220"/>
      <c r="G220"/>
      <c r="H220"/>
    </row>
    <row r="221" spans="1:8" ht="12.75">
      <c r="A221" s="343"/>
      <c r="B221" s="343"/>
      <c r="D221" s="343"/>
      <c r="E221"/>
      <c r="G221"/>
      <c r="H221"/>
    </row>
    <row r="222" spans="1:8" ht="12.75">
      <c r="A222" s="343"/>
      <c r="B222" s="343"/>
      <c r="C222"/>
      <c r="E222"/>
      <c r="G222"/>
      <c r="H222"/>
    </row>
    <row r="223" spans="1:8" ht="12.75">
      <c r="A223" s="343">
        <f>SUM(A218:A221)</f>
        <v>10808960</v>
      </c>
      <c r="B223" s="343">
        <f>SUM(B218:B221)</f>
        <v>1080896</v>
      </c>
      <c r="C223" s="343">
        <f>SUM(C218:C221)</f>
        <v>1400746.6666666667</v>
      </c>
      <c r="D223" s="343">
        <f>SUM(D218:D221)</f>
        <v>8327317.333333334</v>
      </c>
      <c r="E223"/>
      <c r="G223"/>
      <c r="H223"/>
    </row>
    <row r="224" spans="1:8" ht="12.75">
      <c r="A224" s="343"/>
      <c r="B224" s="343"/>
      <c r="C224" s="343">
        <f>+B223+C223</f>
        <v>2481642.666666667</v>
      </c>
      <c r="D224" s="343"/>
      <c r="E224"/>
      <c r="G224"/>
      <c r="H224"/>
    </row>
    <row r="225" spans="1:8" ht="12.75">
      <c r="A225" s="343"/>
      <c r="B225" s="343"/>
      <c r="C225" s="346">
        <f>+B223</f>
        <v>1080896</v>
      </c>
      <c r="E225"/>
      <c r="G225"/>
      <c r="H225"/>
    </row>
    <row r="226" spans="1:8" ht="12.75">
      <c r="A226" s="343"/>
      <c r="B226" s="343"/>
      <c r="C226" s="346">
        <f>+C224+C225</f>
        <v>3562538.666666667</v>
      </c>
      <c r="E226"/>
      <c r="G226"/>
      <c r="H226"/>
    </row>
    <row r="228" spans="2:8" ht="12.75">
      <c r="B228" s="426" t="s">
        <v>577</v>
      </c>
      <c r="C228" s="469" t="s">
        <v>578</v>
      </c>
      <c r="G228"/>
      <c r="H228"/>
    </row>
    <row r="229" spans="1:8" ht="12.75">
      <c r="A229" s="343">
        <v>3562539</v>
      </c>
      <c r="B229" s="422">
        <v>2481643</v>
      </c>
      <c r="C229" s="343">
        <v>1080896</v>
      </c>
      <c r="G229"/>
      <c r="H229"/>
    </row>
    <row r="230" spans="1:8" ht="12.75">
      <c r="A230" s="422">
        <v>3629205</v>
      </c>
      <c r="B230" s="422">
        <v>2348309</v>
      </c>
      <c r="C230" s="343">
        <v>1280896</v>
      </c>
      <c r="D230" s="346">
        <f>+B230+C230</f>
        <v>3629205</v>
      </c>
      <c r="G230"/>
      <c r="H230"/>
    </row>
  </sheetData>
  <sheetProtection/>
  <autoFilter ref="A1:D89"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O109"/>
  <sheetViews>
    <sheetView zoomScalePageLayoutView="0" workbookViewId="0" topLeftCell="A100">
      <selection activeCell="F116" sqref="F116"/>
    </sheetView>
  </sheetViews>
  <sheetFormatPr defaultColWidth="11.421875" defaultRowHeight="12.75"/>
  <cols>
    <col min="2" max="2" width="12.8515625" style="0" customWidth="1"/>
    <col min="3" max="3" width="14.8515625" style="0" bestFit="1" customWidth="1"/>
    <col min="6" max="6" width="12.00390625" style="0" customWidth="1"/>
    <col min="8" max="8" width="12.8515625" style="0" bestFit="1" customWidth="1"/>
    <col min="9" max="9" width="12.421875" style="0" customWidth="1"/>
    <col min="10" max="10" width="13.8515625" style="0" bestFit="1" customWidth="1"/>
    <col min="11" max="11" width="12.8515625" style="0" bestFit="1" customWidth="1"/>
    <col min="13" max="13" width="12.28125" style="0" bestFit="1" customWidth="1"/>
    <col min="15" max="15" width="12.28125" style="0" bestFit="1" customWidth="1"/>
  </cols>
  <sheetData>
    <row r="4" spans="2:3" s="456" customFormat="1" ht="16.5" customHeight="1">
      <c r="B4" s="462">
        <v>42556</v>
      </c>
      <c r="C4" s="464">
        <v>39982320</v>
      </c>
    </row>
    <row r="5" spans="2:3" s="456" customFormat="1" ht="16.5" customHeight="1">
      <c r="B5" s="462">
        <v>42570</v>
      </c>
      <c r="C5" s="463">
        <v>5826150</v>
      </c>
    </row>
    <row r="6" spans="2:3" s="456" customFormat="1" ht="16.5" customHeight="1">
      <c r="B6" s="462">
        <v>42570</v>
      </c>
      <c r="C6" s="463">
        <v>5961075</v>
      </c>
    </row>
    <row r="7" spans="2:4" s="456" customFormat="1" ht="16.5" customHeight="1">
      <c r="B7" s="462">
        <v>42570</v>
      </c>
      <c r="C7" s="463">
        <v>6080261</v>
      </c>
      <c r="D7" s="457">
        <f>SUM(C5:C7)</f>
        <v>17867486</v>
      </c>
    </row>
    <row r="8" spans="2:4" s="456" customFormat="1" ht="16.5" customHeight="1">
      <c r="B8" s="462">
        <v>42572</v>
      </c>
      <c r="C8" s="464">
        <v>399000</v>
      </c>
      <c r="D8" s="468" t="s">
        <v>575</v>
      </c>
    </row>
    <row r="9" spans="2:4" s="456" customFormat="1" ht="16.5" customHeight="1">
      <c r="B9" s="462">
        <v>42572</v>
      </c>
      <c r="C9" s="464">
        <v>1320000</v>
      </c>
      <c r="D9" s="468" t="s">
        <v>575</v>
      </c>
    </row>
    <row r="10" spans="2:4" s="456" customFormat="1" ht="16.5" customHeight="1">
      <c r="B10" s="462">
        <v>42580</v>
      </c>
      <c r="C10" s="464">
        <v>990000</v>
      </c>
      <c r="D10" s="468" t="s">
        <v>575</v>
      </c>
    </row>
    <row r="11" spans="2:4" s="456" customFormat="1" ht="16.5" customHeight="1">
      <c r="B11" s="462">
        <v>42580</v>
      </c>
      <c r="C11" s="463">
        <v>1848000</v>
      </c>
      <c r="D11" s="457">
        <f>SUM(C4:C11)</f>
        <v>62406806</v>
      </c>
    </row>
    <row r="12" spans="2:3" s="456" customFormat="1" ht="16.5" customHeight="1">
      <c r="B12" s="462"/>
      <c r="C12" s="463"/>
    </row>
    <row r="13" spans="2:4" s="456" customFormat="1" ht="16.5" customHeight="1">
      <c r="B13" s="465">
        <v>42590</v>
      </c>
      <c r="C13" s="464">
        <v>39380000</v>
      </c>
      <c r="D13" s="457">
        <f>+F48</f>
        <v>-1280</v>
      </c>
    </row>
    <row r="14" spans="2:3" s="456" customFormat="1" ht="16.5" customHeight="1">
      <c r="B14" s="465">
        <v>42593</v>
      </c>
      <c r="C14" s="466">
        <v>6078589</v>
      </c>
    </row>
    <row r="15" spans="2:3" s="456" customFormat="1" ht="16.5" customHeight="1">
      <c r="B15" s="465">
        <v>42593</v>
      </c>
      <c r="C15" s="466">
        <v>6185487</v>
      </c>
    </row>
    <row r="16" spans="2:3" s="456" customFormat="1" ht="16.5" customHeight="1">
      <c r="B16" s="465">
        <v>42600</v>
      </c>
      <c r="C16" s="464">
        <v>25622483</v>
      </c>
    </row>
    <row r="17" spans="2:4" s="456" customFormat="1" ht="16.5" customHeight="1">
      <c r="B17" s="465">
        <v>42605</v>
      </c>
      <c r="C17" s="464">
        <v>60716263</v>
      </c>
      <c r="D17" s="457">
        <f>+E48</f>
        <v>0</v>
      </c>
    </row>
    <row r="18" spans="2:3" s="456" customFormat="1" ht="16.5" customHeight="1">
      <c r="B18" s="465">
        <v>42612</v>
      </c>
      <c r="C18" s="464">
        <v>2004882</v>
      </c>
    </row>
    <row r="19" ht="12.75">
      <c r="C19" s="346">
        <f>SUM(C13:C18)</f>
        <v>139987704</v>
      </c>
    </row>
    <row r="22" ht="12.75">
      <c r="C22" s="343">
        <v>139987704</v>
      </c>
    </row>
    <row r="23" ht="12.75">
      <c r="C23" s="343">
        <v>62406806</v>
      </c>
    </row>
    <row r="24" ht="12.75">
      <c r="C24" s="343">
        <f>SUM(C22:C23)</f>
        <v>202394510</v>
      </c>
    </row>
    <row r="26" ht="12.75">
      <c r="B26" s="467" t="s">
        <v>515</v>
      </c>
    </row>
    <row r="27" ht="12.75">
      <c r="B27" s="467"/>
    </row>
    <row r="28" spans="1:15" ht="12.75">
      <c r="A28">
        <v>112001</v>
      </c>
      <c r="B28" s="347" t="s">
        <v>579</v>
      </c>
      <c r="C28" s="343"/>
      <c r="D28" s="343">
        <v>10554720</v>
      </c>
      <c r="E28" s="343">
        <v>10560000</v>
      </c>
      <c r="F28" s="343">
        <v>40702600</v>
      </c>
      <c r="G28" s="343">
        <v>8554750</v>
      </c>
      <c r="H28" s="343">
        <v>40000</v>
      </c>
      <c r="I28" s="343">
        <v>103000</v>
      </c>
      <c r="J28" s="343">
        <v>3616000</v>
      </c>
      <c r="K28" s="343">
        <v>9757440</v>
      </c>
      <c r="L28" s="343">
        <v>10560000</v>
      </c>
      <c r="M28" s="343">
        <v>7964240</v>
      </c>
      <c r="O28" s="346">
        <f aca="true" t="shared" si="0" ref="O28:O40">SUM(C28:N28)</f>
        <v>102412750</v>
      </c>
    </row>
    <row r="29" spans="1:15" ht="12.75">
      <c r="A29">
        <v>112004</v>
      </c>
      <c r="B29" s="347" t="s">
        <v>580</v>
      </c>
      <c r="C29" s="343"/>
      <c r="D29" s="343">
        <v>527736</v>
      </c>
      <c r="E29" s="343">
        <v>528000</v>
      </c>
      <c r="F29" s="343"/>
      <c r="G29" s="343"/>
      <c r="J29">
        <v>361600</v>
      </c>
      <c r="K29" s="343">
        <v>975744</v>
      </c>
      <c r="L29" s="343">
        <v>1056000</v>
      </c>
      <c r="M29" s="343">
        <v>796424</v>
      </c>
      <c r="O29" s="346">
        <f t="shared" si="0"/>
        <v>4245504</v>
      </c>
    </row>
    <row r="30" spans="1:15" ht="12.75">
      <c r="A30">
        <v>113012</v>
      </c>
      <c r="B30" s="347" t="s">
        <v>568</v>
      </c>
      <c r="C30" s="343">
        <v>1624200</v>
      </c>
      <c r="D30" s="343"/>
      <c r="E30" s="343"/>
      <c r="F30" s="343"/>
      <c r="G30" s="343"/>
      <c r="O30" s="346">
        <f t="shared" si="0"/>
        <v>1624200</v>
      </c>
    </row>
    <row r="31" spans="1:15" ht="12.75">
      <c r="A31">
        <v>113013</v>
      </c>
      <c r="B31" s="347" t="s">
        <v>569</v>
      </c>
      <c r="C31" s="343">
        <v>6000</v>
      </c>
      <c r="D31" s="343"/>
      <c r="E31" s="343"/>
      <c r="F31" s="343"/>
      <c r="G31" s="343"/>
      <c r="O31" s="346">
        <f t="shared" si="0"/>
        <v>6000</v>
      </c>
    </row>
    <row r="32" spans="1:15" ht="12.75">
      <c r="A32">
        <v>113016</v>
      </c>
      <c r="B32" s="347" t="s">
        <v>570</v>
      </c>
      <c r="C32" s="343">
        <v>10000</v>
      </c>
      <c r="D32" s="343"/>
      <c r="E32" s="343"/>
      <c r="F32" s="343"/>
      <c r="G32" s="343"/>
      <c r="O32" s="346">
        <f t="shared" si="0"/>
        <v>10000</v>
      </c>
    </row>
    <row r="33" spans="1:15" ht="12.75">
      <c r="A33">
        <v>119003</v>
      </c>
      <c r="B33" s="347" t="s">
        <v>571</v>
      </c>
      <c r="C33" s="343">
        <v>162420</v>
      </c>
      <c r="D33" s="343"/>
      <c r="E33" s="343"/>
      <c r="F33" s="343"/>
      <c r="G33" s="343"/>
      <c r="O33" s="346">
        <f t="shared" si="0"/>
        <v>162420</v>
      </c>
    </row>
    <row r="34" spans="1:15" ht="12.75">
      <c r="A34">
        <v>119006</v>
      </c>
      <c r="B34" s="347" t="s">
        <v>584</v>
      </c>
      <c r="C34" s="343"/>
      <c r="D34" s="343">
        <v>1055472</v>
      </c>
      <c r="E34" s="343">
        <v>1056000</v>
      </c>
      <c r="F34" s="343">
        <v>4070260</v>
      </c>
      <c r="G34" s="343">
        <v>855475</v>
      </c>
      <c r="H34" s="343">
        <v>4000</v>
      </c>
      <c r="I34" s="343">
        <v>10320</v>
      </c>
      <c r="J34" s="343">
        <v>361600</v>
      </c>
      <c r="K34" s="343">
        <v>975744</v>
      </c>
      <c r="L34" s="343">
        <v>1056000</v>
      </c>
      <c r="M34" s="343">
        <v>796424</v>
      </c>
      <c r="O34" s="346">
        <f t="shared" si="0"/>
        <v>10241295</v>
      </c>
    </row>
    <row r="35" spans="1:15" ht="12.75">
      <c r="A35">
        <v>132012</v>
      </c>
      <c r="B35" s="347" t="s">
        <v>572</v>
      </c>
      <c r="C35" s="343">
        <v>10000</v>
      </c>
      <c r="D35" s="343"/>
      <c r="E35" s="343"/>
      <c r="F35" s="343"/>
      <c r="G35" s="343"/>
      <c r="O35" s="346">
        <f t="shared" si="0"/>
        <v>10000</v>
      </c>
    </row>
    <row r="36" spans="1:15" ht="12.75">
      <c r="A36">
        <v>132022</v>
      </c>
      <c r="B36" s="347" t="s">
        <v>573</v>
      </c>
      <c r="C36" s="343">
        <v>10000</v>
      </c>
      <c r="D36" s="343"/>
      <c r="E36" s="343"/>
      <c r="F36" s="343"/>
      <c r="G36" s="343"/>
      <c r="O36" s="346">
        <f t="shared" si="0"/>
        <v>10000</v>
      </c>
    </row>
    <row r="37" spans="1:15" ht="12.75">
      <c r="A37">
        <v>132027</v>
      </c>
      <c r="B37" s="347" t="s">
        <v>583</v>
      </c>
      <c r="C37" s="343"/>
      <c r="D37" s="343">
        <v>20000</v>
      </c>
      <c r="E37" s="343">
        <v>20000</v>
      </c>
      <c r="F37" s="343">
        <v>20000</v>
      </c>
      <c r="G37" s="343">
        <v>20000</v>
      </c>
      <c r="H37" s="343">
        <v>20000</v>
      </c>
      <c r="I37" s="343">
        <v>20000</v>
      </c>
      <c r="J37" s="343">
        <v>20000</v>
      </c>
      <c r="K37" s="343">
        <v>20000</v>
      </c>
      <c r="L37" s="343">
        <v>20000</v>
      </c>
      <c r="M37" s="343">
        <v>20000</v>
      </c>
      <c r="O37" s="346">
        <f t="shared" si="0"/>
        <v>200000</v>
      </c>
    </row>
    <row r="38" spans="1:15" ht="12.75">
      <c r="A38">
        <v>142015</v>
      </c>
      <c r="B38" s="347" t="s">
        <v>574</v>
      </c>
      <c r="C38" s="343">
        <v>182262</v>
      </c>
      <c r="D38" s="343">
        <v>650115</v>
      </c>
      <c r="E38" s="343">
        <v>650440</v>
      </c>
      <c r="F38" s="343">
        <v>5211932</v>
      </c>
      <c r="G38" s="343">
        <v>1062789</v>
      </c>
      <c r="H38" s="343">
        <v>6960</v>
      </c>
      <c r="I38" s="343">
        <f>14177+1280</f>
        <v>15457</v>
      </c>
      <c r="J38" s="343">
        <v>116000</v>
      </c>
      <c r="K38" s="343">
        <v>312736</v>
      </c>
      <c r="L38" s="343">
        <v>337412</v>
      </c>
      <c r="M38" s="343">
        <v>255356</v>
      </c>
      <c r="O38" s="346">
        <f t="shared" si="0"/>
        <v>8801459</v>
      </c>
    </row>
    <row r="39" spans="1:15" ht="12.75">
      <c r="A39">
        <v>153080</v>
      </c>
      <c r="B39" s="347"/>
      <c r="C39" s="343"/>
      <c r="D39" s="343"/>
      <c r="E39" s="343"/>
      <c r="F39" s="343"/>
      <c r="G39" s="343"/>
      <c r="N39" s="346">
        <f>+C14+C15</f>
        <v>12264076</v>
      </c>
      <c r="O39" s="346">
        <f t="shared" si="0"/>
        <v>12264076</v>
      </c>
    </row>
    <row r="40" spans="3:15" ht="12.75">
      <c r="C40" s="343">
        <f>SUM(C30:C39)</f>
        <v>2004882</v>
      </c>
      <c r="D40" s="343">
        <f aca="true" t="shared" si="1" ref="D40:M40">SUM(D28:D39)</f>
        <v>12808043</v>
      </c>
      <c r="E40" s="343">
        <f t="shared" si="1"/>
        <v>12814440</v>
      </c>
      <c r="F40" s="343">
        <f t="shared" si="1"/>
        <v>50004792</v>
      </c>
      <c r="G40" s="343">
        <f t="shared" si="1"/>
        <v>10493014</v>
      </c>
      <c r="H40" s="343">
        <f t="shared" si="1"/>
        <v>70960</v>
      </c>
      <c r="I40" s="343">
        <f t="shared" si="1"/>
        <v>148777</v>
      </c>
      <c r="J40" s="343">
        <f t="shared" si="1"/>
        <v>4475200</v>
      </c>
      <c r="K40" s="343">
        <f t="shared" si="1"/>
        <v>12041664</v>
      </c>
      <c r="L40" s="343">
        <f t="shared" si="1"/>
        <v>13029412</v>
      </c>
      <c r="M40" s="343">
        <f t="shared" si="1"/>
        <v>9832444</v>
      </c>
      <c r="N40" s="343">
        <f>SUM(N30:N39)</f>
        <v>12264076</v>
      </c>
      <c r="O40" s="343">
        <f t="shared" si="0"/>
        <v>139987704</v>
      </c>
    </row>
    <row r="41" spans="3:15" ht="12.75">
      <c r="C41" s="343"/>
      <c r="D41" s="343"/>
      <c r="E41" s="343"/>
      <c r="F41" s="343"/>
      <c r="G41" s="343"/>
      <c r="O41" s="343">
        <f>+C19</f>
        <v>139987704</v>
      </c>
    </row>
    <row r="42" spans="3:15" ht="12.75">
      <c r="C42" s="343"/>
      <c r="D42" s="343"/>
      <c r="E42" s="343"/>
      <c r="F42" s="343"/>
      <c r="G42" s="343"/>
      <c r="O42" s="346">
        <f>+O40-O41</f>
        <v>0</v>
      </c>
    </row>
    <row r="43" spans="3:7" ht="12.75">
      <c r="C43" s="343"/>
      <c r="D43" s="343">
        <v>12808043</v>
      </c>
      <c r="E43" s="343">
        <v>50004792</v>
      </c>
      <c r="F43" s="343">
        <v>4475200</v>
      </c>
      <c r="G43" s="343"/>
    </row>
    <row r="44" spans="3:7" ht="12.75">
      <c r="C44" s="343"/>
      <c r="D44" s="343">
        <v>12814440</v>
      </c>
      <c r="E44" s="343">
        <v>10493014</v>
      </c>
      <c r="F44" s="343">
        <v>12041664</v>
      </c>
      <c r="G44" s="343"/>
    </row>
    <row r="45" spans="3:7" ht="12.75">
      <c r="C45" s="343"/>
      <c r="D45" s="343">
        <f>SUM(D43:D44)</f>
        <v>25622483</v>
      </c>
      <c r="E45">
        <v>70960</v>
      </c>
      <c r="F45" s="343">
        <v>13029412</v>
      </c>
      <c r="G45" s="343"/>
    </row>
    <row r="46" spans="3:7" ht="12.75">
      <c r="C46" s="343"/>
      <c r="D46" s="343"/>
      <c r="E46" s="343">
        <v>147497</v>
      </c>
      <c r="F46" s="343">
        <v>9832444</v>
      </c>
      <c r="G46" s="343"/>
    </row>
    <row r="47" spans="3:7" ht="12.75">
      <c r="C47" s="343"/>
      <c r="D47" s="343"/>
      <c r="E47" s="343">
        <f>SUM(E43:E46)</f>
        <v>60716263</v>
      </c>
      <c r="F47" s="343">
        <f>SUM(F43:F46)</f>
        <v>39378720</v>
      </c>
      <c r="G47" s="343"/>
    </row>
    <row r="48" spans="5:6" ht="12.75">
      <c r="E48" s="343">
        <f>+E47-C17</f>
        <v>0</v>
      </c>
      <c r="F48" s="346">
        <f>+F47-C13</f>
        <v>-1280</v>
      </c>
    </row>
    <row r="52" ht="12.75">
      <c r="B52" s="467" t="s">
        <v>514</v>
      </c>
    </row>
    <row r="53" ht="12.75">
      <c r="B53" s="468"/>
    </row>
    <row r="54" spans="1:11" ht="12.75">
      <c r="A54">
        <v>112001</v>
      </c>
      <c r="B54" s="347" t="s">
        <v>579</v>
      </c>
      <c r="C54" s="343">
        <v>31640000</v>
      </c>
      <c r="D54" s="343"/>
      <c r="E54" s="343"/>
      <c r="F54" s="343"/>
      <c r="G54" s="343"/>
      <c r="H54" s="343"/>
      <c r="I54" s="343">
        <f>SUM(C54:H54)</f>
        <v>31640000</v>
      </c>
      <c r="J54" s="343"/>
      <c r="K54" s="343"/>
    </row>
    <row r="55" spans="1:11" ht="12.75">
      <c r="A55">
        <v>112004</v>
      </c>
      <c r="B55" s="347" t="s">
        <v>580</v>
      </c>
      <c r="C55" s="343">
        <v>3164000</v>
      </c>
      <c r="D55" s="343"/>
      <c r="E55" s="343"/>
      <c r="F55" s="343"/>
      <c r="G55" s="343"/>
      <c r="I55" s="343">
        <f aca="true" t="shared" si="2" ref="I55:I68">SUM(C55:H55)</f>
        <v>3164000</v>
      </c>
      <c r="J55" s="343"/>
      <c r="K55" s="343"/>
    </row>
    <row r="56" spans="1:9" ht="12.75">
      <c r="A56">
        <v>113012</v>
      </c>
      <c r="B56" s="347" t="s">
        <v>568</v>
      </c>
      <c r="C56" s="343"/>
      <c r="D56" s="343"/>
      <c r="E56" s="343"/>
      <c r="F56" s="343"/>
      <c r="G56" s="343"/>
      <c r="I56" s="343">
        <f t="shared" si="2"/>
        <v>0</v>
      </c>
    </row>
    <row r="57" spans="1:9" ht="12.75">
      <c r="A57">
        <v>113013</v>
      </c>
      <c r="B57" s="347" t="s">
        <v>569</v>
      </c>
      <c r="C57" s="343"/>
      <c r="D57" s="343"/>
      <c r="E57" s="343"/>
      <c r="F57" s="343"/>
      <c r="G57" s="343"/>
      <c r="I57" s="343">
        <f t="shared" si="2"/>
        <v>0</v>
      </c>
    </row>
    <row r="58" spans="1:9" ht="12.75">
      <c r="A58">
        <v>113</v>
      </c>
      <c r="B58" s="347" t="s">
        <v>585</v>
      </c>
      <c r="C58" s="343"/>
      <c r="D58" s="343"/>
      <c r="E58" s="343">
        <f>2000*20</f>
        <v>40000</v>
      </c>
      <c r="F58" s="343">
        <f>2000*15</f>
        <v>30000</v>
      </c>
      <c r="G58" s="343">
        <f>2000*6</f>
        <v>12000</v>
      </c>
      <c r="H58" s="343">
        <f>2000*28</f>
        <v>56000</v>
      </c>
      <c r="I58" s="343">
        <f t="shared" si="2"/>
        <v>138000</v>
      </c>
    </row>
    <row r="59" spans="1:9" ht="12.75">
      <c r="A59">
        <v>113016</v>
      </c>
      <c r="B59" s="347" t="s">
        <v>570</v>
      </c>
      <c r="C59" s="343"/>
      <c r="D59" s="343"/>
      <c r="E59" s="343">
        <f>30000*20</f>
        <v>600000</v>
      </c>
      <c r="F59" s="343">
        <f>30000*15</f>
        <v>450000</v>
      </c>
      <c r="G59" s="343">
        <f>30000*6</f>
        <v>180000</v>
      </c>
      <c r="H59" s="343">
        <f>30000*28</f>
        <v>840000</v>
      </c>
      <c r="I59" s="343">
        <f t="shared" si="2"/>
        <v>2070000</v>
      </c>
    </row>
    <row r="60" spans="1:9" ht="12.75">
      <c r="A60">
        <v>119003</v>
      </c>
      <c r="B60" s="347" t="s">
        <v>571</v>
      </c>
      <c r="C60" s="343"/>
      <c r="D60" s="343"/>
      <c r="E60" s="343"/>
      <c r="F60" s="343"/>
      <c r="G60" s="343"/>
      <c r="H60" s="343"/>
      <c r="I60" s="343">
        <f t="shared" si="2"/>
        <v>0</v>
      </c>
    </row>
    <row r="61" spans="1:11" ht="12.75">
      <c r="A61">
        <v>119006</v>
      </c>
      <c r="B61" s="347" t="s">
        <v>584</v>
      </c>
      <c r="C61" s="343">
        <v>3164000</v>
      </c>
      <c r="D61" s="343"/>
      <c r="E61" s="343"/>
      <c r="F61" s="343"/>
      <c r="G61" s="343"/>
      <c r="H61" s="343"/>
      <c r="I61" s="343">
        <f t="shared" si="2"/>
        <v>3164000</v>
      </c>
      <c r="J61" s="343"/>
      <c r="K61" s="343"/>
    </row>
    <row r="62" spans="1:9" ht="12.75">
      <c r="A62">
        <v>132021</v>
      </c>
      <c r="B62" s="347" t="s">
        <v>572</v>
      </c>
      <c r="C62" s="343"/>
      <c r="D62" s="343"/>
      <c r="E62" s="343">
        <f>3000*20</f>
        <v>60000</v>
      </c>
      <c r="F62" s="343">
        <f>3000*15</f>
        <v>45000</v>
      </c>
      <c r="G62" s="343">
        <f>3000*6</f>
        <v>18000</v>
      </c>
      <c r="H62" s="343">
        <f>3000*28</f>
        <v>84000</v>
      </c>
      <c r="I62" s="343">
        <f t="shared" si="2"/>
        <v>207000</v>
      </c>
    </row>
    <row r="63" spans="1:9" ht="12.75">
      <c r="A63">
        <v>132022</v>
      </c>
      <c r="B63" s="347" t="s">
        <v>573</v>
      </c>
      <c r="C63" s="343"/>
      <c r="D63" s="343"/>
      <c r="E63" s="343"/>
      <c r="F63" s="343"/>
      <c r="G63" s="343"/>
      <c r="H63" s="343"/>
      <c r="I63" s="343">
        <f t="shared" si="2"/>
        <v>0</v>
      </c>
    </row>
    <row r="64" spans="1:9" ht="12.75">
      <c r="A64">
        <v>132026</v>
      </c>
      <c r="B64" s="347" t="s">
        <v>586</v>
      </c>
      <c r="C64" s="343"/>
      <c r="D64" s="343"/>
      <c r="E64" s="343">
        <f>5000*20</f>
        <v>100000</v>
      </c>
      <c r="F64" s="343">
        <f>5000*15</f>
        <v>75000</v>
      </c>
      <c r="G64" s="343">
        <f>5000*6</f>
        <v>30000</v>
      </c>
      <c r="H64" s="343">
        <f>5000*28</f>
        <v>140000</v>
      </c>
      <c r="I64" s="343">
        <f t="shared" si="2"/>
        <v>345000</v>
      </c>
    </row>
    <row r="65" spans="1:11" ht="12.75">
      <c r="A65">
        <v>132027</v>
      </c>
      <c r="B65" s="347" t="s">
        <v>583</v>
      </c>
      <c r="C65" s="343">
        <v>20000</v>
      </c>
      <c r="D65" s="343"/>
      <c r="E65" s="343"/>
      <c r="F65" s="343"/>
      <c r="G65" s="343"/>
      <c r="H65" s="343"/>
      <c r="I65" s="343">
        <f t="shared" si="2"/>
        <v>20000</v>
      </c>
      <c r="J65" s="343"/>
      <c r="K65" s="343"/>
    </row>
    <row r="66" spans="1:11" ht="12.75">
      <c r="A66">
        <v>142014</v>
      </c>
      <c r="B66" s="347" t="s">
        <v>587</v>
      </c>
      <c r="C66" s="343"/>
      <c r="D66" s="343"/>
      <c r="E66" s="343">
        <f>20000*20</f>
        <v>400000</v>
      </c>
      <c r="F66" s="343">
        <f>20000*15</f>
        <v>300000</v>
      </c>
      <c r="G66" s="343">
        <f>20000*6</f>
        <v>120000</v>
      </c>
      <c r="H66" s="343">
        <f>20000*28</f>
        <v>560000</v>
      </c>
      <c r="I66" s="343">
        <f t="shared" si="2"/>
        <v>1380000</v>
      </c>
      <c r="J66" s="343"/>
      <c r="K66" s="343"/>
    </row>
    <row r="67" spans="1:11" ht="12.75">
      <c r="A67">
        <v>142015</v>
      </c>
      <c r="B67" s="347" t="s">
        <v>574</v>
      </c>
      <c r="C67" s="343">
        <v>1994320</v>
      </c>
      <c r="D67" s="343"/>
      <c r="E67" s="343">
        <f>6000*20</f>
        <v>120000</v>
      </c>
      <c r="F67" s="343">
        <f>6000*15</f>
        <v>90000</v>
      </c>
      <c r="G67" s="343">
        <f>6000*6+3000</f>
        <v>39000</v>
      </c>
      <c r="H67" s="343">
        <f>6000*28</f>
        <v>168000</v>
      </c>
      <c r="I67" s="343">
        <f t="shared" si="2"/>
        <v>2411320</v>
      </c>
      <c r="J67" s="343"/>
      <c r="K67" s="343"/>
    </row>
    <row r="68" spans="1:12" ht="12.75">
      <c r="A68">
        <v>153080</v>
      </c>
      <c r="B68" s="347"/>
      <c r="C68" s="343"/>
      <c r="D68" s="343">
        <f>+D7</f>
        <v>17867486</v>
      </c>
      <c r="E68" s="343"/>
      <c r="F68" s="343"/>
      <c r="G68" s="343"/>
      <c r="H68" s="343"/>
      <c r="I68" s="343">
        <f t="shared" si="2"/>
        <v>17867486</v>
      </c>
      <c r="L68" s="346"/>
    </row>
    <row r="69" spans="3:12" ht="12.75">
      <c r="C69" s="343">
        <f aca="true" t="shared" si="3" ref="C69:H69">SUM(C54:C68)</f>
        <v>39982320</v>
      </c>
      <c r="D69" s="343">
        <f t="shared" si="3"/>
        <v>17867486</v>
      </c>
      <c r="E69" s="343">
        <f t="shared" si="3"/>
        <v>1320000</v>
      </c>
      <c r="F69" s="343">
        <f t="shared" si="3"/>
        <v>990000</v>
      </c>
      <c r="G69" s="343">
        <f t="shared" si="3"/>
        <v>399000</v>
      </c>
      <c r="H69" s="343">
        <f t="shared" si="3"/>
        <v>1848000</v>
      </c>
      <c r="I69" s="346">
        <f>SUM(C69:H69)</f>
        <v>62406806</v>
      </c>
      <c r="J69" s="343"/>
      <c r="K69" s="343"/>
      <c r="L69" s="343"/>
    </row>
    <row r="70" spans="5:9" ht="12.75">
      <c r="E70">
        <f>+E69/20</f>
        <v>66000</v>
      </c>
      <c r="I70" s="343">
        <f>+D11</f>
        <v>62406806</v>
      </c>
    </row>
    <row r="71" ht="12.75">
      <c r="E71">
        <f>330000/66000</f>
        <v>5</v>
      </c>
    </row>
    <row r="72" ht="12.75">
      <c r="E72">
        <f>399000/E70</f>
        <v>6.045454545454546</v>
      </c>
    </row>
    <row r="75" ht="12.75">
      <c r="E75">
        <f>+E70*6</f>
        <v>396000</v>
      </c>
    </row>
    <row r="77" ht="12.75">
      <c r="B77" s="347" t="s">
        <v>515</v>
      </c>
    </row>
    <row r="78" spans="1:3" ht="12.75">
      <c r="A78">
        <v>112001</v>
      </c>
      <c r="B78" s="347" t="s">
        <v>579</v>
      </c>
      <c r="C78" s="346">
        <v>102412750</v>
      </c>
    </row>
    <row r="79" spans="1:3" ht="12.75">
      <c r="A79">
        <v>112004</v>
      </c>
      <c r="B79" s="347" t="s">
        <v>580</v>
      </c>
      <c r="C79" s="346">
        <v>4245504</v>
      </c>
    </row>
    <row r="80" spans="1:3" ht="12.75">
      <c r="A80">
        <v>113012</v>
      </c>
      <c r="B80" s="347" t="s">
        <v>568</v>
      </c>
      <c r="C80" s="346">
        <v>1624200</v>
      </c>
    </row>
    <row r="81" spans="1:3" ht="12.75">
      <c r="A81">
        <v>113013</v>
      </c>
      <c r="B81" s="347" t="s">
        <v>569</v>
      </c>
      <c r="C81" s="346">
        <v>6000</v>
      </c>
    </row>
    <row r="82" spans="1:3" ht="12.75">
      <c r="A82">
        <v>113016</v>
      </c>
      <c r="B82" s="347" t="s">
        <v>570</v>
      </c>
      <c r="C82" s="346">
        <v>10000</v>
      </c>
    </row>
    <row r="83" spans="1:3" ht="12.75">
      <c r="A83">
        <v>119003</v>
      </c>
      <c r="B83" s="347" t="s">
        <v>571</v>
      </c>
      <c r="C83" s="346">
        <v>162420</v>
      </c>
    </row>
    <row r="84" spans="1:3" ht="12.75">
      <c r="A84">
        <v>119006</v>
      </c>
      <c r="B84" s="347" t="s">
        <v>584</v>
      </c>
      <c r="C84" s="346">
        <v>10241295</v>
      </c>
    </row>
    <row r="85" spans="1:3" ht="12.75">
      <c r="A85">
        <v>132012</v>
      </c>
      <c r="B85" s="347" t="s">
        <v>572</v>
      </c>
      <c r="C85" s="346">
        <v>10000</v>
      </c>
    </row>
    <row r="86" spans="1:3" ht="12.75">
      <c r="A86">
        <v>132022</v>
      </c>
      <c r="B86" s="347" t="s">
        <v>573</v>
      </c>
      <c r="C86" s="346">
        <v>10000</v>
      </c>
    </row>
    <row r="87" spans="1:3" ht="12.75">
      <c r="A87">
        <v>132027</v>
      </c>
      <c r="B87" s="347" t="s">
        <v>583</v>
      </c>
      <c r="C87" s="346">
        <v>200000</v>
      </c>
    </row>
    <row r="88" spans="1:3" ht="12.75">
      <c r="A88">
        <v>142015</v>
      </c>
      <c r="B88" s="347" t="s">
        <v>574</v>
      </c>
      <c r="C88" s="346">
        <v>8801459</v>
      </c>
    </row>
    <row r="89" spans="1:3" ht="12.75">
      <c r="A89">
        <v>153080</v>
      </c>
      <c r="B89" s="347"/>
      <c r="C89" s="346">
        <v>12264076</v>
      </c>
    </row>
    <row r="90" ht="12.75">
      <c r="C90" s="346">
        <f>SUM(C78:C89)</f>
        <v>139987704</v>
      </c>
    </row>
    <row r="91" ht="12.75">
      <c r="C91" s="346">
        <v>139987704</v>
      </c>
    </row>
    <row r="93" ht="12.75">
      <c r="B93" s="347" t="s">
        <v>514</v>
      </c>
    </row>
    <row r="94" spans="1:3" ht="12.75">
      <c r="A94">
        <v>112001</v>
      </c>
      <c r="B94" s="347" t="s">
        <v>579</v>
      </c>
      <c r="C94" s="346">
        <v>31640000</v>
      </c>
    </row>
    <row r="95" spans="1:3" ht="12.75">
      <c r="A95">
        <v>112004</v>
      </c>
      <c r="B95" s="347" t="s">
        <v>580</v>
      </c>
      <c r="C95" s="346">
        <v>3164000</v>
      </c>
    </row>
    <row r="96" spans="1:3" ht="12.75">
      <c r="A96">
        <v>113012</v>
      </c>
      <c r="B96" s="347" t="s">
        <v>568</v>
      </c>
      <c r="C96" s="346">
        <v>0</v>
      </c>
    </row>
    <row r="97" spans="1:3" ht="12.75">
      <c r="A97">
        <v>113013</v>
      </c>
      <c r="B97" s="347" t="s">
        <v>569</v>
      </c>
      <c r="C97" s="346">
        <v>0</v>
      </c>
    </row>
    <row r="98" spans="1:3" ht="12.75">
      <c r="A98">
        <v>113</v>
      </c>
      <c r="B98" s="347" t="s">
        <v>585</v>
      </c>
      <c r="C98" s="346">
        <v>138000</v>
      </c>
    </row>
    <row r="99" spans="1:3" ht="12.75">
      <c r="A99">
        <v>113016</v>
      </c>
      <c r="B99" s="347" t="s">
        <v>570</v>
      </c>
      <c r="C99" s="346">
        <v>2070000</v>
      </c>
    </row>
    <row r="100" spans="1:3" ht="12.75">
      <c r="A100">
        <v>119003</v>
      </c>
      <c r="B100" s="347" t="s">
        <v>571</v>
      </c>
      <c r="C100" s="346">
        <v>0</v>
      </c>
    </row>
    <row r="101" spans="1:3" ht="12.75">
      <c r="A101">
        <v>119006</v>
      </c>
      <c r="B101" s="347" t="s">
        <v>584</v>
      </c>
      <c r="C101" s="346">
        <v>3164000</v>
      </c>
    </row>
    <row r="102" spans="1:3" ht="12.75">
      <c r="A102">
        <v>132021</v>
      </c>
      <c r="B102" s="347" t="s">
        <v>572</v>
      </c>
      <c r="C102" s="346">
        <v>207000</v>
      </c>
    </row>
    <row r="103" spans="1:3" ht="12.75">
      <c r="A103">
        <v>132022</v>
      </c>
      <c r="B103" s="347" t="s">
        <v>573</v>
      </c>
      <c r="C103" s="346">
        <v>0</v>
      </c>
    </row>
    <row r="104" spans="1:3" ht="12.75">
      <c r="A104">
        <v>132026</v>
      </c>
      <c r="B104" s="347" t="s">
        <v>586</v>
      </c>
      <c r="C104" s="346">
        <v>345000</v>
      </c>
    </row>
    <row r="105" spans="1:3" ht="12.75">
      <c r="A105">
        <v>132027</v>
      </c>
      <c r="B105" s="347" t="s">
        <v>583</v>
      </c>
      <c r="C105" s="346">
        <v>20000</v>
      </c>
    </row>
    <row r="106" spans="1:3" ht="12.75">
      <c r="A106">
        <v>142014</v>
      </c>
      <c r="B106" s="347" t="s">
        <v>587</v>
      </c>
      <c r="C106" s="346">
        <v>1380000</v>
      </c>
    </row>
    <row r="107" spans="1:3" ht="12.75">
      <c r="A107">
        <v>142015</v>
      </c>
      <c r="B107" s="347" t="s">
        <v>574</v>
      </c>
      <c r="C107" s="346">
        <v>2411320</v>
      </c>
    </row>
    <row r="108" spans="1:3" ht="12.75">
      <c r="A108">
        <v>153080</v>
      </c>
      <c r="B108" s="347"/>
      <c r="C108" s="346">
        <v>17867486</v>
      </c>
    </row>
    <row r="109" ht="12.75">
      <c r="C109" s="346">
        <f>SUM(C94:C108)</f>
        <v>62406806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B272"/>
  <sheetViews>
    <sheetView zoomScalePageLayoutView="0" workbookViewId="0" topLeftCell="A195">
      <selection activeCell="O261" sqref="O261"/>
    </sheetView>
  </sheetViews>
  <sheetFormatPr defaultColWidth="11.421875" defaultRowHeight="12.75"/>
  <cols>
    <col min="1" max="1" width="3.8515625" style="77" customWidth="1"/>
    <col min="2" max="2" width="5.00390625" style="65" customWidth="1"/>
    <col min="3" max="3" width="4.8515625" style="65" bestFit="1" customWidth="1"/>
    <col min="4" max="4" width="5.7109375" style="65" bestFit="1" customWidth="1"/>
    <col min="5" max="5" width="3.8515625" style="65" bestFit="1" customWidth="1"/>
    <col min="6" max="6" width="4.140625" style="65" bestFit="1" customWidth="1"/>
    <col min="7" max="7" width="42.7109375" style="144" customWidth="1"/>
    <col min="8" max="8" width="12.7109375" style="65" customWidth="1"/>
    <col min="9" max="9" width="12.00390625" style="65" customWidth="1"/>
    <col min="10" max="10" width="12.140625" style="65" customWidth="1"/>
    <col min="11" max="11" width="9.00390625" style="65" hidden="1" customWidth="1"/>
    <col min="12" max="12" width="8.140625" style="65" hidden="1" customWidth="1"/>
    <col min="13" max="13" width="7.8515625" style="65" hidden="1" customWidth="1"/>
    <col min="14" max="14" width="7.00390625" style="65" hidden="1" customWidth="1"/>
    <col min="15" max="15" width="11.8515625" style="65" customWidth="1"/>
    <col min="16" max="19" width="10.8515625" style="65" customWidth="1"/>
    <col min="20" max="20" width="12.57421875" style="65" bestFit="1" customWidth="1"/>
    <col min="21" max="21" width="13.7109375" style="65" customWidth="1"/>
    <col min="22" max="22" width="13.00390625" style="65" customWidth="1"/>
    <col min="23" max="23" width="12.7109375" style="65" customWidth="1"/>
    <col min="24" max="24" width="2.421875" style="65" customWidth="1"/>
    <col min="25" max="16384" width="11.421875" style="65" customWidth="1"/>
  </cols>
  <sheetData>
    <row r="1" spans="2:28" s="12" customFormat="1" ht="6" customHeight="1">
      <c r="B1" s="127"/>
      <c r="C1" s="127"/>
      <c r="D1" s="127"/>
      <c r="E1" s="127"/>
      <c r="F1" s="127"/>
      <c r="G1" s="128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48"/>
    </row>
    <row r="2" spans="2:23" s="79" customFormat="1" ht="7.5" customHeight="1">
      <c r="B2" s="80"/>
      <c r="C2" s="81"/>
      <c r="D2" s="81"/>
      <c r="E2" s="81"/>
      <c r="F2" s="81"/>
      <c r="G2" s="129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2"/>
    </row>
    <row r="3" spans="2:23" s="250" customFormat="1" ht="24.75">
      <c r="B3" s="254" t="s">
        <v>490</v>
      </c>
      <c r="C3" s="255"/>
      <c r="D3" s="255"/>
      <c r="E3" s="255"/>
      <c r="F3" s="255"/>
      <c r="G3" s="255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2"/>
      <c r="W3" s="253"/>
    </row>
    <row r="4" spans="2:23" s="99" customFormat="1" ht="17.25">
      <c r="B4" s="166" t="str">
        <f>'GASTOS CONSOLIDADO'!A9</f>
        <v>CORRESPONDIENTE AL SEGUNDO CUATRIMESTRE DE 2016</v>
      </c>
      <c r="C4" s="167"/>
      <c r="D4" s="167"/>
      <c r="E4" s="167"/>
      <c r="F4" s="167"/>
      <c r="G4" s="167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7"/>
    </row>
    <row r="5" spans="1:23" s="91" customFormat="1" ht="14.25">
      <c r="A5" s="84"/>
      <c r="B5" s="85" t="s">
        <v>241</v>
      </c>
      <c r="C5" s="86"/>
      <c r="D5" s="86"/>
      <c r="E5" s="86"/>
      <c r="F5" s="87" t="s">
        <v>224</v>
      </c>
      <c r="G5" s="130">
        <v>30</v>
      </c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90"/>
    </row>
    <row r="6" spans="1:23" s="91" customFormat="1" ht="14.25">
      <c r="A6" s="84"/>
      <c r="B6" s="85" t="s">
        <v>225</v>
      </c>
      <c r="C6" s="86"/>
      <c r="D6" s="86"/>
      <c r="E6" s="86"/>
      <c r="F6" s="87" t="s">
        <v>224</v>
      </c>
      <c r="G6" s="131" t="str">
        <f>'GASTOS CONSOLIDADO'!F11</f>
        <v>235 MUNICIPALIDAD DE CARMELO PERALTA</v>
      </c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539"/>
      <c r="W6" s="540"/>
    </row>
    <row r="7" spans="1:23" s="91" customFormat="1" ht="14.25">
      <c r="A7" s="84"/>
      <c r="B7" s="288" t="s">
        <v>226</v>
      </c>
      <c r="C7" s="289"/>
      <c r="D7" s="289"/>
      <c r="E7" s="289"/>
      <c r="F7" s="290" t="s">
        <v>224</v>
      </c>
      <c r="G7" s="291" t="s">
        <v>487</v>
      </c>
      <c r="H7" s="291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132"/>
      <c r="W7" s="133"/>
    </row>
    <row r="8" spans="1:23" s="91" customFormat="1" ht="14.25">
      <c r="A8" s="84"/>
      <c r="B8" s="288" t="s">
        <v>227</v>
      </c>
      <c r="C8" s="289"/>
      <c r="D8" s="289"/>
      <c r="E8" s="289"/>
      <c r="F8" s="290" t="s">
        <v>224</v>
      </c>
      <c r="G8" s="291" t="s">
        <v>488</v>
      </c>
      <c r="H8" s="291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132"/>
      <c r="W8" s="133"/>
    </row>
    <row r="9" spans="1:23" s="91" customFormat="1" ht="14.25">
      <c r="A9" s="84"/>
      <c r="B9" s="288" t="s">
        <v>228</v>
      </c>
      <c r="C9" s="289"/>
      <c r="D9" s="289"/>
      <c r="E9" s="289"/>
      <c r="F9" s="290" t="s">
        <v>224</v>
      </c>
      <c r="G9" s="291" t="s">
        <v>489</v>
      </c>
      <c r="H9" s="291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5"/>
    </row>
    <row r="10" spans="1:23" s="91" customFormat="1" ht="14.25">
      <c r="A10" s="84"/>
      <c r="B10" s="288" t="s">
        <v>229</v>
      </c>
      <c r="C10" s="289"/>
      <c r="D10" s="289"/>
      <c r="E10" s="289"/>
      <c r="F10" s="290" t="s">
        <v>224</v>
      </c>
      <c r="G10" s="292" t="s">
        <v>304</v>
      </c>
      <c r="H10" s="292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535" t="s">
        <v>287</v>
      </c>
      <c r="W10" s="536"/>
    </row>
    <row r="11" spans="2:23" s="94" customFormat="1" ht="6" customHeight="1">
      <c r="B11" s="136"/>
      <c r="C11" s="136"/>
      <c r="D11" s="136"/>
      <c r="E11" s="136"/>
      <c r="F11" s="136"/>
      <c r="G11" s="137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541"/>
      <c r="W11" s="541"/>
    </row>
    <row r="12" spans="1:23" s="63" customFormat="1" ht="15" customHeight="1">
      <c r="A12" s="62"/>
      <c r="B12" s="528" t="s">
        <v>11</v>
      </c>
      <c r="C12" s="529"/>
      <c r="D12" s="529"/>
      <c r="E12" s="529"/>
      <c r="F12" s="530"/>
      <c r="G12" s="514" t="s">
        <v>12</v>
      </c>
      <c r="H12" s="514" t="s">
        <v>230</v>
      </c>
      <c r="I12" s="514" t="s">
        <v>280</v>
      </c>
      <c r="J12" s="514" t="s">
        <v>223</v>
      </c>
      <c r="K12" s="516" t="s">
        <v>322</v>
      </c>
      <c r="L12" s="517"/>
      <c r="M12" s="517"/>
      <c r="N12" s="517"/>
      <c r="O12" s="514" t="s">
        <v>565</v>
      </c>
      <c r="P12" s="516" t="s">
        <v>322</v>
      </c>
      <c r="Q12" s="517"/>
      <c r="R12" s="517"/>
      <c r="S12" s="537"/>
      <c r="T12" s="514" t="s">
        <v>244</v>
      </c>
      <c r="U12" s="525" t="s">
        <v>231</v>
      </c>
      <c r="V12" s="514" t="s">
        <v>245</v>
      </c>
      <c r="W12" s="514" t="s">
        <v>246</v>
      </c>
    </row>
    <row r="13" spans="1:23" s="342" customFormat="1" ht="24">
      <c r="A13" s="338"/>
      <c r="B13" s="339" t="s">
        <v>14</v>
      </c>
      <c r="C13" s="339" t="s">
        <v>296</v>
      </c>
      <c r="D13" s="339" t="s">
        <v>232</v>
      </c>
      <c r="E13" s="339" t="s">
        <v>15</v>
      </c>
      <c r="F13" s="339" t="s">
        <v>16</v>
      </c>
      <c r="G13" s="515"/>
      <c r="H13" s="515"/>
      <c r="I13" s="515"/>
      <c r="J13" s="515"/>
      <c r="K13" s="340">
        <v>40909</v>
      </c>
      <c r="L13" s="340">
        <v>40940</v>
      </c>
      <c r="M13" s="340">
        <v>40969</v>
      </c>
      <c r="N13" s="341">
        <v>41000</v>
      </c>
      <c r="O13" s="515"/>
      <c r="P13" s="340">
        <v>41030</v>
      </c>
      <c r="Q13" s="340">
        <v>41061</v>
      </c>
      <c r="R13" s="341">
        <v>41091</v>
      </c>
      <c r="S13" s="340">
        <v>41122</v>
      </c>
      <c r="T13" s="515"/>
      <c r="U13" s="526"/>
      <c r="V13" s="515"/>
      <c r="W13" s="515"/>
    </row>
    <row r="14" spans="1:23" s="98" customFormat="1" ht="20.25">
      <c r="A14" s="97"/>
      <c r="B14" s="40"/>
      <c r="C14" s="40"/>
      <c r="D14" s="40"/>
      <c r="E14" s="40"/>
      <c r="F14" s="40"/>
      <c r="G14" s="143" t="s">
        <v>17</v>
      </c>
      <c r="H14" s="42">
        <f>+H15+H195</f>
        <v>939898346</v>
      </c>
      <c r="I14" s="42">
        <f aca="true" t="shared" si="0" ref="I14:W14">+I15+I195</f>
        <v>26744639</v>
      </c>
      <c r="J14" s="42">
        <f t="shared" si="0"/>
        <v>966642985</v>
      </c>
      <c r="K14" s="42">
        <f t="shared" si="0"/>
        <v>0</v>
      </c>
      <c r="L14" s="42">
        <f t="shared" si="0"/>
        <v>0</v>
      </c>
      <c r="M14" s="42">
        <f t="shared" si="0"/>
        <v>0</v>
      </c>
      <c r="N14" s="42">
        <f t="shared" si="0"/>
        <v>0</v>
      </c>
      <c r="O14" s="42">
        <f>+O15+O195</f>
        <v>0</v>
      </c>
      <c r="P14" s="42">
        <f t="shared" si="0"/>
        <v>0</v>
      </c>
      <c r="Q14" s="42">
        <f t="shared" si="0"/>
        <v>0</v>
      </c>
      <c r="R14" s="42">
        <f t="shared" si="0"/>
        <v>41685755</v>
      </c>
      <c r="S14" s="42">
        <f t="shared" si="0"/>
        <v>45159567</v>
      </c>
      <c r="T14" s="42">
        <f>+O14+P14+Q14+R14+S14</f>
        <v>86845322</v>
      </c>
      <c r="U14" s="42">
        <f t="shared" si="0"/>
        <v>879797663</v>
      </c>
      <c r="V14" s="42">
        <f t="shared" si="0"/>
        <v>86845322</v>
      </c>
      <c r="W14" s="42">
        <f t="shared" si="0"/>
        <v>0</v>
      </c>
    </row>
    <row r="15" spans="1:23" s="98" customFormat="1" ht="17.25">
      <c r="A15" s="99"/>
      <c r="B15" s="40"/>
      <c r="C15" s="40"/>
      <c r="D15" s="40"/>
      <c r="E15" s="40"/>
      <c r="F15" s="40"/>
      <c r="G15" s="138" t="s">
        <v>18</v>
      </c>
      <c r="H15" s="42">
        <f>+H152</f>
        <v>197075460</v>
      </c>
      <c r="I15" s="42">
        <f aca="true" t="shared" si="1" ref="I15:W15">+I152</f>
        <v>209467966</v>
      </c>
      <c r="J15" s="42">
        <f t="shared" si="1"/>
        <v>406543426</v>
      </c>
      <c r="K15" s="42">
        <f t="shared" si="1"/>
        <v>0</v>
      </c>
      <c r="L15" s="42">
        <f t="shared" si="1"/>
        <v>0</v>
      </c>
      <c r="M15" s="42">
        <f t="shared" si="1"/>
        <v>0</v>
      </c>
      <c r="N15" s="42">
        <f t="shared" si="1"/>
        <v>0</v>
      </c>
      <c r="O15" s="42">
        <f>+O152</f>
        <v>0</v>
      </c>
      <c r="P15" s="42">
        <f t="shared" si="1"/>
        <v>0</v>
      </c>
      <c r="Q15" s="42">
        <f t="shared" si="1"/>
        <v>0</v>
      </c>
      <c r="R15" s="42">
        <f t="shared" si="1"/>
        <v>0</v>
      </c>
      <c r="S15" s="42">
        <f t="shared" si="1"/>
        <v>0</v>
      </c>
      <c r="T15" s="42">
        <f aca="true" t="shared" si="2" ref="T15:T78">+O15+P15+Q15+R15+S15</f>
        <v>0</v>
      </c>
      <c r="U15" s="42">
        <f t="shared" si="1"/>
        <v>406543426</v>
      </c>
      <c r="V15" s="42">
        <f t="shared" si="1"/>
        <v>0</v>
      </c>
      <c r="W15" s="42">
        <f t="shared" si="1"/>
        <v>0</v>
      </c>
    </row>
    <row r="16" spans="1:23" s="98" customFormat="1" ht="13.5" hidden="1">
      <c r="A16" s="77"/>
      <c r="B16" s="43">
        <f>'GASTOS CONSOLIDADO'!A19</f>
        <v>100</v>
      </c>
      <c r="C16" s="43"/>
      <c r="D16" s="43"/>
      <c r="E16" s="43"/>
      <c r="F16" s="43"/>
      <c r="G16" s="29" t="str">
        <f>'GASTOS CONSOLIDADO'!F19</f>
        <v>SERVICIOS PERSONALES</v>
      </c>
      <c r="H16" s="3">
        <f>H17+H23+H27+H35+H48</f>
        <v>0</v>
      </c>
      <c r="I16" s="3">
        <f aca="true" t="shared" si="3" ref="I16:W16">I17+I23+I27+I35+I48</f>
        <v>0</v>
      </c>
      <c r="J16" s="3">
        <f t="shared" si="3"/>
        <v>0</v>
      </c>
      <c r="K16" s="3">
        <f t="shared" si="3"/>
        <v>0</v>
      </c>
      <c r="L16" s="3">
        <f t="shared" si="3"/>
        <v>0</v>
      </c>
      <c r="M16" s="3">
        <f t="shared" si="3"/>
        <v>0</v>
      </c>
      <c r="N16" s="3">
        <f t="shared" si="3"/>
        <v>0</v>
      </c>
      <c r="O16" s="3">
        <f>O17+O23+O27+O35+O48</f>
        <v>0</v>
      </c>
      <c r="P16" s="3">
        <f t="shared" si="3"/>
        <v>0</v>
      </c>
      <c r="Q16" s="3">
        <f t="shared" si="3"/>
        <v>0</v>
      </c>
      <c r="R16" s="3">
        <f t="shared" si="3"/>
        <v>0</v>
      </c>
      <c r="S16" s="3">
        <f t="shared" si="3"/>
        <v>0</v>
      </c>
      <c r="T16" s="3">
        <f t="shared" si="2"/>
        <v>0</v>
      </c>
      <c r="U16" s="3">
        <f t="shared" si="3"/>
        <v>0</v>
      </c>
      <c r="V16" s="3">
        <f t="shared" si="3"/>
        <v>0</v>
      </c>
      <c r="W16" s="3">
        <f t="shared" si="3"/>
        <v>0</v>
      </c>
    </row>
    <row r="17" spans="1:23" s="98" customFormat="1" ht="13.5" hidden="1">
      <c r="A17" s="77"/>
      <c r="B17" s="43"/>
      <c r="C17" s="43">
        <f>'GASTOS CONSOLIDADO'!B20</f>
        <v>110</v>
      </c>
      <c r="D17" s="43"/>
      <c r="E17" s="43"/>
      <c r="F17" s="43"/>
      <c r="G17" s="29" t="str">
        <f>'GASTOS CONSOLIDADO'!F20</f>
        <v>Remuneraciones Básicas</v>
      </c>
      <c r="H17" s="3">
        <f>SUM(H18:H21)</f>
        <v>0</v>
      </c>
      <c r="I17" s="3">
        <f aca="true" t="shared" si="4" ref="I17:W17">SUM(I18:I21)</f>
        <v>0</v>
      </c>
      <c r="J17" s="3">
        <f t="shared" si="4"/>
        <v>0</v>
      </c>
      <c r="K17" s="3">
        <f t="shared" si="4"/>
        <v>0</v>
      </c>
      <c r="L17" s="3">
        <f t="shared" si="4"/>
        <v>0</v>
      </c>
      <c r="M17" s="3">
        <f t="shared" si="4"/>
        <v>0</v>
      </c>
      <c r="N17" s="3">
        <f t="shared" si="4"/>
        <v>0</v>
      </c>
      <c r="O17" s="3">
        <f>SUM(O18:O21)</f>
        <v>0</v>
      </c>
      <c r="P17" s="3">
        <f t="shared" si="4"/>
        <v>0</v>
      </c>
      <c r="Q17" s="3">
        <f t="shared" si="4"/>
        <v>0</v>
      </c>
      <c r="R17" s="3">
        <f t="shared" si="4"/>
        <v>0</v>
      </c>
      <c r="S17" s="3">
        <f t="shared" si="4"/>
        <v>0</v>
      </c>
      <c r="T17" s="3">
        <f t="shared" si="2"/>
        <v>0</v>
      </c>
      <c r="U17" s="3">
        <f t="shared" si="4"/>
        <v>0</v>
      </c>
      <c r="V17" s="3">
        <f t="shared" si="4"/>
        <v>0</v>
      </c>
      <c r="W17" s="3">
        <f t="shared" si="4"/>
        <v>0</v>
      </c>
    </row>
    <row r="18" spans="1:23" s="98" customFormat="1" ht="13.5" hidden="1">
      <c r="A18" s="77"/>
      <c r="B18" s="100"/>
      <c r="C18" s="100"/>
      <c r="D18" s="100"/>
      <c r="E18" s="2"/>
      <c r="F18" s="2"/>
      <c r="G18" s="26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>
        <f t="shared" si="2"/>
        <v>0</v>
      </c>
      <c r="U18" s="5"/>
      <c r="V18" s="5"/>
      <c r="W18" s="5"/>
    </row>
    <row r="19" spans="1:23" s="98" customFormat="1" ht="13.5" hidden="1">
      <c r="A19" s="77"/>
      <c r="B19" s="100"/>
      <c r="C19" s="100"/>
      <c r="D19" s="100"/>
      <c r="E19" s="2"/>
      <c r="F19" s="2"/>
      <c r="G19" s="26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>
        <f t="shared" si="2"/>
        <v>0</v>
      </c>
      <c r="U19" s="5"/>
      <c r="V19" s="5"/>
      <c r="W19" s="5"/>
    </row>
    <row r="20" spans="1:23" s="98" customFormat="1" ht="13.5" hidden="1">
      <c r="A20" s="77"/>
      <c r="B20" s="100"/>
      <c r="C20" s="100"/>
      <c r="D20" s="100"/>
      <c r="E20" s="2"/>
      <c r="F20" s="2"/>
      <c r="G20" s="26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>
        <f t="shared" si="2"/>
        <v>0</v>
      </c>
      <c r="U20" s="5"/>
      <c r="V20" s="5"/>
      <c r="W20" s="5"/>
    </row>
    <row r="21" spans="1:23" s="98" customFormat="1" ht="13.5" hidden="1">
      <c r="A21" s="77"/>
      <c r="B21" s="100"/>
      <c r="C21" s="100"/>
      <c r="D21" s="100"/>
      <c r="E21" s="2"/>
      <c r="F21" s="2"/>
      <c r="G21" s="26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>
        <f t="shared" si="2"/>
        <v>0</v>
      </c>
      <c r="U21" s="5"/>
      <c r="V21" s="5"/>
      <c r="W21" s="5"/>
    </row>
    <row r="22" spans="1:23" s="83" customFormat="1" ht="13.5" hidden="1">
      <c r="A22" s="77"/>
      <c r="B22" s="101"/>
      <c r="C22" s="101"/>
      <c r="D22" s="101"/>
      <c r="E22" s="17"/>
      <c r="F22" s="17"/>
      <c r="G22" s="68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>
        <f t="shared" si="2"/>
        <v>0</v>
      </c>
      <c r="U22" s="21"/>
      <c r="V22" s="21"/>
      <c r="W22" s="21"/>
    </row>
    <row r="23" spans="1:23" s="98" customFormat="1" ht="13.5" hidden="1">
      <c r="A23" s="77"/>
      <c r="B23" s="43"/>
      <c r="C23" s="43">
        <f>'GASTOS CONSOLIDADO'!B26</f>
        <v>120</v>
      </c>
      <c r="D23" s="43"/>
      <c r="E23" s="43"/>
      <c r="F23" s="43"/>
      <c r="G23" s="29" t="str">
        <f>'GASTOS CONSOLIDADO'!F26</f>
        <v>Remuneraciones Temporales</v>
      </c>
      <c r="H23" s="3">
        <f>SUM(H24:H26)</f>
        <v>0</v>
      </c>
      <c r="I23" s="3">
        <f aca="true" t="shared" si="5" ref="I23:W23">SUM(I24:I26)</f>
        <v>0</v>
      </c>
      <c r="J23" s="3">
        <f t="shared" si="5"/>
        <v>0</v>
      </c>
      <c r="K23" s="3">
        <f t="shared" si="5"/>
        <v>0</v>
      </c>
      <c r="L23" s="3">
        <f t="shared" si="5"/>
        <v>0</v>
      </c>
      <c r="M23" s="3">
        <f t="shared" si="5"/>
        <v>0</v>
      </c>
      <c r="N23" s="3">
        <f t="shared" si="5"/>
        <v>0</v>
      </c>
      <c r="O23" s="3">
        <f>SUM(O24:O26)</f>
        <v>0</v>
      </c>
      <c r="P23" s="3">
        <f t="shared" si="5"/>
        <v>0</v>
      </c>
      <c r="Q23" s="3">
        <f t="shared" si="5"/>
        <v>0</v>
      </c>
      <c r="R23" s="3">
        <f t="shared" si="5"/>
        <v>0</v>
      </c>
      <c r="S23" s="3">
        <f t="shared" si="5"/>
        <v>0</v>
      </c>
      <c r="T23" s="3">
        <f t="shared" si="2"/>
        <v>0</v>
      </c>
      <c r="U23" s="3">
        <f t="shared" si="5"/>
        <v>0</v>
      </c>
      <c r="V23" s="3">
        <f t="shared" si="5"/>
        <v>0</v>
      </c>
      <c r="W23" s="3">
        <f t="shared" si="5"/>
        <v>0</v>
      </c>
    </row>
    <row r="24" spans="1:23" s="98" customFormat="1" ht="13.5" hidden="1">
      <c r="A24" s="77"/>
      <c r="B24" s="100"/>
      <c r="C24" s="100"/>
      <c r="D24" s="100"/>
      <c r="E24" s="2"/>
      <c r="F24" s="2"/>
      <c r="G24" s="26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>
        <f t="shared" si="2"/>
        <v>0</v>
      </c>
      <c r="U24" s="5"/>
      <c r="V24" s="5"/>
      <c r="W24" s="5"/>
    </row>
    <row r="25" spans="1:23" s="98" customFormat="1" ht="13.5" hidden="1">
      <c r="A25" s="77"/>
      <c r="B25" s="100"/>
      <c r="C25" s="100"/>
      <c r="D25" s="100"/>
      <c r="E25" s="2"/>
      <c r="F25" s="2"/>
      <c r="G25" s="26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>
        <f t="shared" si="2"/>
        <v>0</v>
      </c>
      <c r="U25" s="5"/>
      <c r="V25" s="5"/>
      <c r="W25" s="5"/>
    </row>
    <row r="26" spans="1:23" s="83" customFormat="1" ht="13.5" hidden="1">
      <c r="A26" s="77"/>
      <c r="B26" s="101"/>
      <c r="C26" s="101"/>
      <c r="D26" s="101"/>
      <c r="E26" s="17"/>
      <c r="F26" s="17"/>
      <c r="G26" s="68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>
        <f t="shared" si="2"/>
        <v>0</v>
      </c>
      <c r="U26" s="21"/>
      <c r="V26" s="21"/>
      <c r="W26" s="21"/>
    </row>
    <row r="27" spans="1:23" s="98" customFormat="1" ht="13.5" hidden="1">
      <c r="A27" s="77"/>
      <c r="B27" s="43"/>
      <c r="C27" s="43">
        <f>'GASTOS CONSOLIDADO'!B30</f>
        <v>130</v>
      </c>
      <c r="D27" s="43"/>
      <c r="E27" s="1"/>
      <c r="F27" s="1"/>
      <c r="G27" s="29" t="str">
        <f>'GASTOS CONSOLIDADO'!F30</f>
        <v>Asignaciones Complementarias</v>
      </c>
      <c r="H27" s="3">
        <f>SUM(H28:H33)</f>
        <v>0</v>
      </c>
      <c r="I27" s="3">
        <f aca="true" t="shared" si="6" ref="I27:W27">SUM(I28:I33)</f>
        <v>0</v>
      </c>
      <c r="J27" s="3">
        <f t="shared" si="6"/>
        <v>0</v>
      </c>
      <c r="K27" s="3">
        <f t="shared" si="6"/>
        <v>0</v>
      </c>
      <c r="L27" s="3">
        <f t="shared" si="6"/>
        <v>0</v>
      </c>
      <c r="M27" s="3">
        <f t="shared" si="6"/>
        <v>0</v>
      </c>
      <c r="N27" s="3">
        <f t="shared" si="6"/>
        <v>0</v>
      </c>
      <c r="O27" s="3">
        <f>SUM(O28:O33)</f>
        <v>0</v>
      </c>
      <c r="P27" s="3">
        <f t="shared" si="6"/>
        <v>0</v>
      </c>
      <c r="Q27" s="3">
        <f t="shared" si="6"/>
        <v>0</v>
      </c>
      <c r="R27" s="3">
        <f t="shared" si="6"/>
        <v>0</v>
      </c>
      <c r="S27" s="3">
        <f t="shared" si="6"/>
        <v>0</v>
      </c>
      <c r="T27" s="3">
        <f t="shared" si="2"/>
        <v>0</v>
      </c>
      <c r="U27" s="3">
        <f t="shared" si="6"/>
        <v>0</v>
      </c>
      <c r="V27" s="3">
        <f t="shared" si="6"/>
        <v>0</v>
      </c>
      <c r="W27" s="3">
        <f t="shared" si="6"/>
        <v>0</v>
      </c>
    </row>
    <row r="28" spans="1:23" s="98" customFormat="1" ht="13.5" hidden="1">
      <c r="A28" s="77"/>
      <c r="B28" s="100"/>
      <c r="C28" s="100"/>
      <c r="D28" s="100"/>
      <c r="E28" s="2"/>
      <c r="F28" s="2"/>
      <c r="G28" s="26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>
        <f t="shared" si="2"/>
        <v>0</v>
      </c>
      <c r="U28" s="5"/>
      <c r="V28" s="5"/>
      <c r="W28" s="5"/>
    </row>
    <row r="29" spans="1:23" s="98" customFormat="1" ht="13.5" hidden="1">
      <c r="A29" s="77"/>
      <c r="B29" s="100"/>
      <c r="C29" s="100"/>
      <c r="D29" s="100"/>
      <c r="E29" s="2"/>
      <c r="F29" s="2"/>
      <c r="G29" s="26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>
        <f t="shared" si="2"/>
        <v>0</v>
      </c>
      <c r="U29" s="5"/>
      <c r="V29" s="5"/>
      <c r="W29" s="5"/>
    </row>
    <row r="30" spans="1:23" s="98" customFormat="1" ht="13.5" hidden="1">
      <c r="A30" s="77"/>
      <c r="B30" s="100"/>
      <c r="C30" s="100"/>
      <c r="D30" s="100"/>
      <c r="E30" s="2"/>
      <c r="F30" s="2"/>
      <c r="G30" s="26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>
        <f t="shared" si="2"/>
        <v>0</v>
      </c>
      <c r="U30" s="5"/>
      <c r="V30" s="5"/>
      <c r="W30" s="5"/>
    </row>
    <row r="31" spans="1:23" s="98" customFormat="1" ht="13.5" hidden="1">
      <c r="A31" s="77"/>
      <c r="B31" s="100"/>
      <c r="C31" s="100"/>
      <c r="D31" s="100"/>
      <c r="E31" s="2"/>
      <c r="F31" s="2"/>
      <c r="G31" s="26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>
        <f t="shared" si="2"/>
        <v>0</v>
      </c>
      <c r="U31" s="5"/>
      <c r="V31" s="5"/>
      <c r="W31" s="5"/>
    </row>
    <row r="32" spans="1:23" s="98" customFormat="1" ht="13.5" hidden="1">
      <c r="A32" s="77"/>
      <c r="B32" s="100"/>
      <c r="C32" s="100"/>
      <c r="D32" s="100"/>
      <c r="E32" s="2"/>
      <c r="F32" s="2"/>
      <c r="G32" s="26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>
        <f t="shared" si="2"/>
        <v>0</v>
      </c>
      <c r="U32" s="5"/>
      <c r="V32" s="5"/>
      <c r="W32" s="5"/>
    </row>
    <row r="33" spans="1:23" s="98" customFormat="1" ht="13.5" hidden="1">
      <c r="A33" s="77"/>
      <c r="B33" s="100"/>
      <c r="C33" s="100"/>
      <c r="D33" s="100"/>
      <c r="E33" s="2"/>
      <c r="F33" s="2"/>
      <c r="G33" s="26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>
        <f t="shared" si="2"/>
        <v>0</v>
      </c>
      <c r="U33" s="5"/>
      <c r="V33" s="5"/>
      <c r="W33" s="5"/>
    </row>
    <row r="34" spans="1:23" s="83" customFormat="1" ht="13.5" hidden="1">
      <c r="A34" s="77"/>
      <c r="B34" s="101"/>
      <c r="C34" s="101"/>
      <c r="D34" s="101"/>
      <c r="E34" s="17"/>
      <c r="F34" s="17"/>
      <c r="G34" s="68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>
        <f t="shared" si="2"/>
        <v>0</v>
      </c>
      <c r="U34" s="21"/>
      <c r="V34" s="21"/>
      <c r="W34" s="21"/>
    </row>
    <row r="35" spans="1:23" s="98" customFormat="1" ht="13.5" hidden="1">
      <c r="A35" s="77"/>
      <c r="B35" s="43"/>
      <c r="C35" s="43">
        <f>'GASTOS CONSOLIDADO'!B38</f>
        <v>140</v>
      </c>
      <c r="D35" s="43"/>
      <c r="E35" s="1"/>
      <c r="F35" s="1"/>
      <c r="G35" s="29" t="str">
        <f>'GASTOS CONSOLIDADO'!F38</f>
        <v>Personal Contratado</v>
      </c>
      <c r="H35" s="3">
        <f>SUM(H36:H47)</f>
        <v>0</v>
      </c>
      <c r="I35" s="3">
        <f aca="true" t="shared" si="7" ref="I35:W35">SUM(I36:I47)</f>
        <v>0</v>
      </c>
      <c r="J35" s="3">
        <f t="shared" si="7"/>
        <v>0</v>
      </c>
      <c r="K35" s="3">
        <f t="shared" si="7"/>
        <v>0</v>
      </c>
      <c r="L35" s="3">
        <f t="shared" si="7"/>
        <v>0</v>
      </c>
      <c r="M35" s="3">
        <f t="shared" si="7"/>
        <v>0</v>
      </c>
      <c r="N35" s="3">
        <f t="shared" si="7"/>
        <v>0</v>
      </c>
      <c r="O35" s="3">
        <f>SUM(O36:O47)</f>
        <v>0</v>
      </c>
      <c r="P35" s="3">
        <f t="shared" si="7"/>
        <v>0</v>
      </c>
      <c r="Q35" s="3">
        <f t="shared" si="7"/>
        <v>0</v>
      </c>
      <c r="R35" s="3">
        <f t="shared" si="7"/>
        <v>0</v>
      </c>
      <c r="S35" s="3">
        <f t="shared" si="7"/>
        <v>0</v>
      </c>
      <c r="T35" s="3">
        <f t="shared" si="2"/>
        <v>0</v>
      </c>
      <c r="U35" s="3">
        <f t="shared" si="7"/>
        <v>0</v>
      </c>
      <c r="V35" s="3">
        <f t="shared" si="7"/>
        <v>0</v>
      </c>
      <c r="W35" s="3">
        <f t="shared" si="7"/>
        <v>0</v>
      </c>
    </row>
    <row r="36" spans="1:23" s="98" customFormat="1" ht="13.5" hidden="1">
      <c r="A36" s="77"/>
      <c r="B36" s="100"/>
      <c r="C36" s="100"/>
      <c r="D36" s="100"/>
      <c r="E36" s="2"/>
      <c r="F36" s="2"/>
      <c r="G36" s="26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>
        <f t="shared" si="2"/>
        <v>0</v>
      </c>
      <c r="U36" s="5"/>
      <c r="V36" s="5"/>
      <c r="W36" s="5"/>
    </row>
    <row r="37" spans="1:23" s="98" customFormat="1" ht="13.5" hidden="1">
      <c r="A37" s="77"/>
      <c r="B37" s="100"/>
      <c r="C37" s="100"/>
      <c r="D37" s="100"/>
      <c r="E37" s="2"/>
      <c r="F37" s="2"/>
      <c r="G37" s="26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>
        <f t="shared" si="2"/>
        <v>0</v>
      </c>
      <c r="U37" s="5"/>
      <c r="V37" s="5"/>
      <c r="W37" s="5"/>
    </row>
    <row r="38" spans="1:23" s="98" customFormat="1" ht="13.5" hidden="1">
      <c r="A38" s="77"/>
      <c r="B38" s="100"/>
      <c r="C38" s="100"/>
      <c r="D38" s="100"/>
      <c r="E38" s="2"/>
      <c r="F38" s="2"/>
      <c r="G38" s="26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>
        <f t="shared" si="2"/>
        <v>0</v>
      </c>
      <c r="U38" s="5"/>
      <c r="V38" s="5"/>
      <c r="W38" s="5"/>
    </row>
    <row r="39" spans="1:23" s="98" customFormat="1" ht="13.5" hidden="1">
      <c r="A39" s="77"/>
      <c r="B39" s="100"/>
      <c r="C39" s="100"/>
      <c r="D39" s="100"/>
      <c r="E39" s="2"/>
      <c r="F39" s="2"/>
      <c r="G39" s="26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>
        <f t="shared" si="2"/>
        <v>0</v>
      </c>
      <c r="U39" s="5"/>
      <c r="V39" s="5"/>
      <c r="W39" s="5"/>
    </row>
    <row r="40" spans="1:23" s="98" customFormat="1" ht="13.5" hidden="1">
      <c r="A40" s="77"/>
      <c r="B40" s="100"/>
      <c r="C40" s="100"/>
      <c r="D40" s="100"/>
      <c r="E40" s="2"/>
      <c r="F40" s="2"/>
      <c r="G40" s="26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>
        <f t="shared" si="2"/>
        <v>0</v>
      </c>
      <c r="U40" s="5"/>
      <c r="V40" s="5"/>
      <c r="W40" s="5"/>
    </row>
    <row r="41" spans="1:23" s="98" customFormat="1" ht="13.5" hidden="1">
      <c r="A41" s="77"/>
      <c r="B41" s="100"/>
      <c r="C41" s="100"/>
      <c r="D41" s="100"/>
      <c r="E41" s="2"/>
      <c r="F41" s="2"/>
      <c r="G41" s="26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>
        <f t="shared" si="2"/>
        <v>0</v>
      </c>
      <c r="U41" s="5"/>
      <c r="V41" s="5"/>
      <c r="W41" s="5"/>
    </row>
    <row r="42" spans="1:23" s="98" customFormat="1" ht="13.5" hidden="1">
      <c r="A42" s="77"/>
      <c r="B42" s="100"/>
      <c r="C42" s="100"/>
      <c r="D42" s="100"/>
      <c r="E42" s="2"/>
      <c r="F42" s="2"/>
      <c r="G42" s="26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>
        <f t="shared" si="2"/>
        <v>0</v>
      </c>
      <c r="U42" s="5"/>
      <c r="V42" s="5"/>
      <c r="W42" s="5"/>
    </row>
    <row r="43" spans="1:23" s="98" customFormat="1" ht="13.5" hidden="1">
      <c r="A43" s="77"/>
      <c r="B43" s="100"/>
      <c r="C43" s="100"/>
      <c r="D43" s="100"/>
      <c r="E43" s="2"/>
      <c r="F43" s="2"/>
      <c r="G43" s="26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>
        <f t="shared" si="2"/>
        <v>0</v>
      </c>
      <c r="U43" s="5"/>
      <c r="V43" s="5"/>
      <c r="W43" s="5"/>
    </row>
    <row r="44" spans="1:23" s="98" customFormat="1" ht="13.5" hidden="1">
      <c r="A44" s="77"/>
      <c r="B44" s="100"/>
      <c r="C44" s="100"/>
      <c r="D44" s="100"/>
      <c r="E44" s="2"/>
      <c r="F44" s="2"/>
      <c r="G44" s="26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>
        <f t="shared" si="2"/>
        <v>0</v>
      </c>
      <c r="U44" s="5"/>
      <c r="V44" s="5"/>
      <c r="W44" s="5"/>
    </row>
    <row r="45" spans="1:23" s="98" customFormat="1" ht="13.5" hidden="1">
      <c r="A45" s="77"/>
      <c r="B45" s="100"/>
      <c r="C45" s="100"/>
      <c r="D45" s="100"/>
      <c r="E45" s="2"/>
      <c r="F45" s="2"/>
      <c r="G45" s="26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>
        <f t="shared" si="2"/>
        <v>0</v>
      </c>
      <c r="U45" s="5"/>
      <c r="V45" s="5"/>
      <c r="W45" s="5"/>
    </row>
    <row r="46" spans="1:23" s="98" customFormat="1" ht="13.5" hidden="1">
      <c r="A46" s="77"/>
      <c r="B46" s="100"/>
      <c r="C46" s="100"/>
      <c r="D46" s="100"/>
      <c r="E46" s="2"/>
      <c r="F46" s="2"/>
      <c r="G46" s="26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>
        <f t="shared" si="2"/>
        <v>0</v>
      </c>
      <c r="U46" s="5"/>
      <c r="V46" s="5"/>
      <c r="W46" s="5"/>
    </row>
    <row r="47" spans="1:23" s="83" customFormat="1" ht="13.5" hidden="1">
      <c r="A47" s="77"/>
      <c r="B47" s="101"/>
      <c r="C47" s="101"/>
      <c r="D47" s="101"/>
      <c r="E47" s="17"/>
      <c r="F47" s="17"/>
      <c r="G47" s="6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>
        <f t="shared" si="2"/>
        <v>0</v>
      </c>
      <c r="U47" s="21"/>
      <c r="V47" s="21"/>
      <c r="W47" s="21"/>
    </row>
    <row r="48" spans="1:23" s="98" customFormat="1" ht="13.5" hidden="1">
      <c r="A48" s="77"/>
      <c r="B48" s="43"/>
      <c r="C48" s="43">
        <f>'GASTOS CONSOLIDADO'!B49</f>
        <v>190</v>
      </c>
      <c r="D48" s="43"/>
      <c r="E48" s="1"/>
      <c r="F48" s="1"/>
      <c r="G48" s="29" t="str">
        <f>'GASTOS CONSOLIDADO'!F49</f>
        <v>Otros Gastos del Personal</v>
      </c>
      <c r="H48" s="3">
        <f>SUM(H49:H51)</f>
        <v>0</v>
      </c>
      <c r="I48" s="3">
        <f aca="true" t="shared" si="8" ref="I48:W48">SUM(I49:I51)</f>
        <v>0</v>
      </c>
      <c r="J48" s="3">
        <f t="shared" si="8"/>
        <v>0</v>
      </c>
      <c r="K48" s="3">
        <f t="shared" si="8"/>
        <v>0</v>
      </c>
      <c r="L48" s="3">
        <f t="shared" si="8"/>
        <v>0</v>
      </c>
      <c r="M48" s="3">
        <f t="shared" si="8"/>
        <v>0</v>
      </c>
      <c r="N48" s="3">
        <f t="shared" si="8"/>
        <v>0</v>
      </c>
      <c r="O48" s="3">
        <f>SUM(O49:O51)</f>
        <v>0</v>
      </c>
      <c r="P48" s="3">
        <f t="shared" si="8"/>
        <v>0</v>
      </c>
      <c r="Q48" s="3">
        <f t="shared" si="8"/>
        <v>0</v>
      </c>
      <c r="R48" s="3">
        <f t="shared" si="8"/>
        <v>0</v>
      </c>
      <c r="S48" s="3">
        <f t="shared" si="8"/>
        <v>0</v>
      </c>
      <c r="T48" s="3">
        <f t="shared" si="2"/>
        <v>0</v>
      </c>
      <c r="U48" s="3">
        <f t="shared" si="8"/>
        <v>0</v>
      </c>
      <c r="V48" s="3">
        <f t="shared" si="8"/>
        <v>0</v>
      </c>
      <c r="W48" s="3">
        <f t="shared" si="8"/>
        <v>0</v>
      </c>
    </row>
    <row r="49" spans="1:23" s="98" customFormat="1" ht="13.5" hidden="1">
      <c r="A49" s="77"/>
      <c r="B49" s="100"/>
      <c r="C49" s="100"/>
      <c r="D49" s="100"/>
      <c r="E49" s="2"/>
      <c r="F49" s="2"/>
      <c r="G49" s="26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>
        <f t="shared" si="2"/>
        <v>0</v>
      </c>
      <c r="U49" s="5"/>
      <c r="V49" s="5"/>
      <c r="W49" s="5"/>
    </row>
    <row r="50" spans="1:23" s="98" customFormat="1" ht="13.5" hidden="1">
      <c r="A50" s="77"/>
      <c r="B50" s="100"/>
      <c r="C50" s="100"/>
      <c r="D50" s="100"/>
      <c r="E50" s="2"/>
      <c r="F50" s="2"/>
      <c r="G50" s="26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>
        <f t="shared" si="2"/>
        <v>0</v>
      </c>
      <c r="U50" s="5"/>
      <c r="V50" s="5"/>
      <c r="W50" s="5"/>
    </row>
    <row r="51" spans="1:23" s="83" customFormat="1" ht="13.5" hidden="1">
      <c r="A51" s="77"/>
      <c r="B51" s="101"/>
      <c r="C51" s="101"/>
      <c r="D51" s="101"/>
      <c r="E51" s="17"/>
      <c r="F51" s="17"/>
      <c r="G51" s="68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>
        <f t="shared" si="2"/>
        <v>0</v>
      </c>
      <c r="U51" s="21"/>
      <c r="V51" s="21"/>
      <c r="W51" s="21"/>
    </row>
    <row r="52" spans="1:23" s="98" customFormat="1" ht="13.5" hidden="1">
      <c r="A52" s="77"/>
      <c r="B52" s="43">
        <f>'GASTOS CONSOLIDADO'!A53</f>
        <v>200</v>
      </c>
      <c r="C52" s="43"/>
      <c r="D52" s="43"/>
      <c r="E52" s="1"/>
      <c r="F52" s="1"/>
      <c r="G52" s="29" t="str">
        <f>'GASTOS CONSOLIDADO'!F53</f>
        <v>SERVICIOS NO PERSONALES</v>
      </c>
      <c r="H52" s="3">
        <f>H53+H56+H59+H63+H69+H73+H78+H84+H88</f>
        <v>0</v>
      </c>
      <c r="I52" s="3">
        <f aca="true" t="shared" si="9" ref="I52:W52">I53+I56+I59+I63+I69+I73+I78+I84+I88</f>
        <v>0</v>
      </c>
      <c r="J52" s="3">
        <f t="shared" si="9"/>
        <v>0</v>
      </c>
      <c r="K52" s="3">
        <f t="shared" si="9"/>
        <v>0</v>
      </c>
      <c r="L52" s="3">
        <f t="shared" si="9"/>
        <v>0</v>
      </c>
      <c r="M52" s="3">
        <f t="shared" si="9"/>
        <v>0</v>
      </c>
      <c r="N52" s="3">
        <f t="shared" si="9"/>
        <v>0</v>
      </c>
      <c r="O52" s="3">
        <f>O53+O56+O59+O63+O69+O73+O78+O84+O88</f>
        <v>0</v>
      </c>
      <c r="P52" s="3">
        <f t="shared" si="9"/>
        <v>0</v>
      </c>
      <c r="Q52" s="3">
        <f t="shared" si="9"/>
        <v>0</v>
      </c>
      <c r="R52" s="3">
        <f t="shared" si="9"/>
        <v>0</v>
      </c>
      <c r="S52" s="3">
        <f t="shared" si="9"/>
        <v>0</v>
      </c>
      <c r="T52" s="3">
        <f t="shared" si="2"/>
        <v>0</v>
      </c>
      <c r="U52" s="3">
        <f t="shared" si="9"/>
        <v>0</v>
      </c>
      <c r="V52" s="3">
        <f t="shared" si="9"/>
        <v>0</v>
      </c>
      <c r="W52" s="3">
        <f t="shared" si="9"/>
        <v>0</v>
      </c>
    </row>
    <row r="53" spans="1:23" s="98" customFormat="1" ht="13.5" hidden="1">
      <c r="A53" s="77"/>
      <c r="B53" s="43"/>
      <c r="C53" s="43">
        <f>'GASTOS CONSOLIDADO'!B54</f>
        <v>210</v>
      </c>
      <c r="D53" s="43"/>
      <c r="E53" s="1"/>
      <c r="F53" s="1"/>
      <c r="G53" s="29" t="str">
        <f>'GASTOS CONSOLIDADO'!F54</f>
        <v>Servicios Básicos</v>
      </c>
      <c r="H53" s="3">
        <f>SUM(H54:H55)</f>
        <v>0</v>
      </c>
      <c r="I53" s="3">
        <f aca="true" t="shared" si="10" ref="I53:W53">SUM(I54:I55)</f>
        <v>0</v>
      </c>
      <c r="J53" s="3">
        <f t="shared" si="10"/>
        <v>0</v>
      </c>
      <c r="K53" s="3">
        <f t="shared" si="10"/>
        <v>0</v>
      </c>
      <c r="L53" s="3">
        <f t="shared" si="10"/>
        <v>0</v>
      </c>
      <c r="M53" s="3">
        <f t="shared" si="10"/>
        <v>0</v>
      </c>
      <c r="N53" s="3">
        <f t="shared" si="10"/>
        <v>0</v>
      </c>
      <c r="O53" s="3">
        <f>SUM(O54:O55)</f>
        <v>0</v>
      </c>
      <c r="P53" s="3">
        <f t="shared" si="10"/>
        <v>0</v>
      </c>
      <c r="Q53" s="3">
        <f t="shared" si="10"/>
        <v>0</v>
      </c>
      <c r="R53" s="3">
        <f t="shared" si="10"/>
        <v>0</v>
      </c>
      <c r="S53" s="3">
        <f t="shared" si="10"/>
        <v>0</v>
      </c>
      <c r="T53" s="3">
        <f t="shared" si="2"/>
        <v>0</v>
      </c>
      <c r="U53" s="3">
        <f t="shared" si="10"/>
        <v>0</v>
      </c>
      <c r="V53" s="3">
        <f t="shared" si="10"/>
        <v>0</v>
      </c>
      <c r="W53" s="3">
        <f t="shared" si="10"/>
        <v>0</v>
      </c>
    </row>
    <row r="54" spans="1:23" s="98" customFormat="1" ht="13.5" hidden="1">
      <c r="A54" s="77"/>
      <c r="B54" s="100"/>
      <c r="C54" s="100"/>
      <c r="D54" s="100"/>
      <c r="E54" s="2"/>
      <c r="F54" s="2"/>
      <c r="G54" s="26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>
        <f t="shared" si="2"/>
        <v>0</v>
      </c>
      <c r="U54" s="5"/>
      <c r="V54" s="5"/>
      <c r="W54" s="5"/>
    </row>
    <row r="55" spans="1:23" s="83" customFormat="1" ht="13.5" hidden="1">
      <c r="A55" s="77"/>
      <c r="B55" s="101"/>
      <c r="C55" s="101"/>
      <c r="D55" s="101"/>
      <c r="E55" s="17"/>
      <c r="F55" s="17"/>
      <c r="G55" s="68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>
        <f t="shared" si="2"/>
        <v>0</v>
      </c>
      <c r="U55" s="21"/>
      <c r="V55" s="21"/>
      <c r="W55" s="21"/>
    </row>
    <row r="56" spans="1:23" s="98" customFormat="1" ht="13.5" hidden="1">
      <c r="A56" s="77"/>
      <c r="B56" s="43"/>
      <c r="C56" s="43">
        <f>'GASTOS CONSOLIDADO'!B57</f>
        <v>220</v>
      </c>
      <c r="D56" s="43"/>
      <c r="E56" s="1"/>
      <c r="F56" s="1"/>
      <c r="G56" s="29" t="str">
        <f>'GASTOS CONSOLIDADO'!F57</f>
        <v>Transporte y Almacenaje</v>
      </c>
      <c r="H56" s="3">
        <f>SUM(H57:H58)</f>
        <v>0</v>
      </c>
      <c r="I56" s="3">
        <f aca="true" t="shared" si="11" ref="I56:W56">SUM(I57:I58)</f>
        <v>0</v>
      </c>
      <c r="J56" s="3">
        <f t="shared" si="11"/>
        <v>0</v>
      </c>
      <c r="K56" s="3">
        <f t="shared" si="11"/>
        <v>0</v>
      </c>
      <c r="L56" s="3">
        <f t="shared" si="11"/>
        <v>0</v>
      </c>
      <c r="M56" s="3">
        <f t="shared" si="11"/>
        <v>0</v>
      </c>
      <c r="N56" s="3">
        <f t="shared" si="11"/>
        <v>0</v>
      </c>
      <c r="O56" s="3">
        <f>SUM(O57:O58)</f>
        <v>0</v>
      </c>
      <c r="P56" s="3">
        <f t="shared" si="11"/>
        <v>0</v>
      </c>
      <c r="Q56" s="3">
        <f t="shared" si="11"/>
        <v>0</v>
      </c>
      <c r="R56" s="3">
        <f t="shared" si="11"/>
        <v>0</v>
      </c>
      <c r="S56" s="3">
        <f t="shared" si="11"/>
        <v>0</v>
      </c>
      <c r="T56" s="3">
        <f t="shared" si="2"/>
        <v>0</v>
      </c>
      <c r="U56" s="3">
        <f t="shared" si="11"/>
        <v>0</v>
      </c>
      <c r="V56" s="3">
        <f t="shared" si="11"/>
        <v>0</v>
      </c>
      <c r="W56" s="3">
        <f t="shared" si="11"/>
        <v>0</v>
      </c>
    </row>
    <row r="57" spans="1:23" s="98" customFormat="1" ht="13.5" hidden="1">
      <c r="A57" s="77"/>
      <c r="B57" s="100"/>
      <c r="C57" s="100"/>
      <c r="D57" s="100"/>
      <c r="E57" s="2"/>
      <c r="F57" s="2"/>
      <c r="G57" s="26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>
        <f t="shared" si="2"/>
        <v>0</v>
      </c>
      <c r="U57" s="5"/>
      <c r="V57" s="5"/>
      <c r="W57" s="5"/>
    </row>
    <row r="58" spans="1:23" s="83" customFormat="1" ht="13.5" hidden="1">
      <c r="A58" s="77"/>
      <c r="B58" s="101"/>
      <c r="C58" s="101"/>
      <c r="D58" s="101"/>
      <c r="E58" s="17"/>
      <c r="F58" s="17"/>
      <c r="G58" s="68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>
        <f t="shared" si="2"/>
        <v>0</v>
      </c>
      <c r="U58" s="21"/>
      <c r="V58" s="21"/>
      <c r="W58" s="21"/>
    </row>
    <row r="59" spans="1:23" s="98" customFormat="1" ht="13.5" hidden="1">
      <c r="A59" s="77"/>
      <c r="B59" s="102"/>
      <c r="C59" s="102">
        <f>'GASTOS CONSOLIDADO'!B60</f>
        <v>230</v>
      </c>
      <c r="D59" s="43"/>
      <c r="E59" s="102"/>
      <c r="F59" s="102"/>
      <c r="G59" s="114" t="str">
        <f>'GASTOS CONSOLIDADO'!F60</f>
        <v>Pasajes y Viáticos</v>
      </c>
      <c r="H59" s="3">
        <f>SUM(H60:H61)</f>
        <v>0</v>
      </c>
      <c r="I59" s="3">
        <f aca="true" t="shared" si="12" ref="I59:W59">SUM(I60:I61)</f>
        <v>0</v>
      </c>
      <c r="J59" s="3">
        <f t="shared" si="12"/>
        <v>0</v>
      </c>
      <c r="K59" s="3">
        <f t="shared" si="12"/>
        <v>0</v>
      </c>
      <c r="L59" s="3">
        <f t="shared" si="12"/>
        <v>0</v>
      </c>
      <c r="M59" s="3">
        <f t="shared" si="12"/>
        <v>0</v>
      </c>
      <c r="N59" s="3">
        <f t="shared" si="12"/>
        <v>0</v>
      </c>
      <c r="O59" s="3">
        <f>SUM(O60:O61)</f>
        <v>0</v>
      </c>
      <c r="P59" s="3">
        <f t="shared" si="12"/>
        <v>0</v>
      </c>
      <c r="Q59" s="3">
        <f t="shared" si="12"/>
        <v>0</v>
      </c>
      <c r="R59" s="3">
        <f t="shared" si="12"/>
        <v>0</v>
      </c>
      <c r="S59" s="3">
        <f t="shared" si="12"/>
        <v>0</v>
      </c>
      <c r="T59" s="3">
        <f t="shared" si="2"/>
        <v>0</v>
      </c>
      <c r="U59" s="3">
        <f t="shared" si="12"/>
        <v>0</v>
      </c>
      <c r="V59" s="3">
        <f t="shared" si="12"/>
        <v>0</v>
      </c>
      <c r="W59" s="3">
        <f t="shared" si="12"/>
        <v>0</v>
      </c>
    </row>
    <row r="60" spans="1:23" s="98" customFormat="1" ht="13.5" hidden="1">
      <c r="A60" s="77"/>
      <c r="B60" s="103"/>
      <c r="C60" s="103"/>
      <c r="D60" s="100"/>
      <c r="E60" s="2"/>
      <c r="F60" s="2"/>
      <c r="G60" s="11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>
        <f t="shared" si="2"/>
        <v>0</v>
      </c>
      <c r="U60" s="5"/>
      <c r="V60" s="5"/>
      <c r="W60" s="5"/>
    </row>
    <row r="61" spans="1:23" s="98" customFormat="1" ht="13.5" hidden="1">
      <c r="A61" s="77"/>
      <c r="B61" s="103"/>
      <c r="C61" s="103"/>
      <c r="D61" s="100"/>
      <c r="E61" s="2"/>
      <c r="F61" s="2"/>
      <c r="G61" s="11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>
        <f t="shared" si="2"/>
        <v>0</v>
      </c>
      <c r="U61" s="5"/>
      <c r="V61" s="5"/>
      <c r="W61" s="5"/>
    </row>
    <row r="62" spans="1:23" s="83" customFormat="1" ht="13.5" hidden="1">
      <c r="A62" s="77"/>
      <c r="B62" s="104"/>
      <c r="C62" s="104"/>
      <c r="D62" s="101"/>
      <c r="E62" s="17"/>
      <c r="F62" s="17"/>
      <c r="G62" s="139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>
        <f t="shared" si="2"/>
        <v>0</v>
      </c>
      <c r="U62" s="21"/>
      <c r="V62" s="21"/>
      <c r="W62" s="21"/>
    </row>
    <row r="63" spans="1:23" s="98" customFormat="1" ht="13.5" hidden="1">
      <c r="A63" s="77"/>
      <c r="B63" s="102"/>
      <c r="C63" s="102">
        <f>'GASTOS CONSOLIDADO'!B63</f>
        <v>240</v>
      </c>
      <c r="D63" s="43"/>
      <c r="E63" s="102"/>
      <c r="F63" s="102"/>
      <c r="G63" s="114" t="str">
        <f>'GASTOS CONSOLIDADO'!F63</f>
        <v>Gastos p/ Serv. de Aseo Mant. y Repar.</v>
      </c>
      <c r="H63" s="3">
        <f>SUM(H64:H67)</f>
        <v>0</v>
      </c>
      <c r="I63" s="3">
        <f aca="true" t="shared" si="13" ref="I63:W63">SUM(I64:I67)</f>
        <v>0</v>
      </c>
      <c r="J63" s="3">
        <f t="shared" si="13"/>
        <v>0</v>
      </c>
      <c r="K63" s="3">
        <f t="shared" si="13"/>
        <v>0</v>
      </c>
      <c r="L63" s="3">
        <f t="shared" si="13"/>
        <v>0</v>
      </c>
      <c r="M63" s="3">
        <f t="shared" si="13"/>
        <v>0</v>
      </c>
      <c r="N63" s="3">
        <f t="shared" si="13"/>
        <v>0</v>
      </c>
      <c r="O63" s="3">
        <f>SUM(O64:O67)</f>
        <v>0</v>
      </c>
      <c r="P63" s="3">
        <f t="shared" si="13"/>
        <v>0</v>
      </c>
      <c r="Q63" s="3">
        <f t="shared" si="13"/>
        <v>0</v>
      </c>
      <c r="R63" s="3">
        <f t="shared" si="13"/>
        <v>0</v>
      </c>
      <c r="S63" s="3">
        <f t="shared" si="13"/>
        <v>0</v>
      </c>
      <c r="T63" s="3">
        <f t="shared" si="2"/>
        <v>0</v>
      </c>
      <c r="U63" s="3">
        <f t="shared" si="13"/>
        <v>0</v>
      </c>
      <c r="V63" s="3">
        <f t="shared" si="13"/>
        <v>0</v>
      </c>
      <c r="W63" s="3">
        <f t="shared" si="13"/>
        <v>0</v>
      </c>
    </row>
    <row r="64" spans="1:23" s="98" customFormat="1" ht="13.5" hidden="1">
      <c r="A64" s="77"/>
      <c r="B64" s="103"/>
      <c r="C64" s="103"/>
      <c r="D64" s="100"/>
      <c r="E64" s="2"/>
      <c r="F64" s="2"/>
      <c r="G64" s="105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>
        <f t="shared" si="2"/>
        <v>0</v>
      </c>
      <c r="U64" s="106"/>
      <c r="V64" s="106"/>
      <c r="W64" s="106"/>
    </row>
    <row r="65" spans="1:23" s="98" customFormat="1" ht="13.5" hidden="1">
      <c r="A65" s="77"/>
      <c r="B65" s="103"/>
      <c r="C65" s="103"/>
      <c r="D65" s="100"/>
      <c r="E65" s="2"/>
      <c r="F65" s="2"/>
      <c r="G65" s="105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>
        <f t="shared" si="2"/>
        <v>0</v>
      </c>
      <c r="U65" s="106"/>
      <c r="V65" s="106"/>
      <c r="W65" s="106"/>
    </row>
    <row r="66" spans="1:23" s="98" customFormat="1" ht="13.5" hidden="1">
      <c r="A66" s="77"/>
      <c r="B66" s="103"/>
      <c r="C66" s="103"/>
      <c r="D66" s="100"/>
      <c r="E66" s="2"/>
      <c r="F66" s="2"/>
      <c r="G66" s="105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>
        <f t="shared" si="2"/>
        <v>0</v>
      </c>
      <c r="U66" s="106"/>
      <c r="V66" s="106"/>
      <c r="W66" s="106"/>
    </row>
    <row r="67" spans="1:23" s="98" customFormat="1" ht="13.5" hidden="1">
      <c r="A67" s="77"/>
      <c r="B67" s="103"/>
      <c r="C67" s="103"/>
      <c r="D67" s="100"/>
      <c r="E67" s="2"/>
      <c r="F67" s="2"/>
      <c r="G67" s="105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>
        <f t="shared" si="2"/>
        <v>0</v>
      </c>
      <c r="U67" s="106"/>
      <c r="V67" s="106"/>
      <c r="W67" s="106"/>
    </row>
    <row r="68" spans="1:23" s="83" customFormat="1" ht="13.5" hidden="1">
      <c r="A68" s="77"/>
      <c r="B68" s="104"/>
      <c r="C68" s="104"/>
      <c r="D68" s="101"/>
      <c r="E68" s="104"/>
      <c r="F68" s="104"/>
      <c r="G68" s="139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>
        <f t="shared" si="2"/>
        <v>0</v>
      </c>
      <c r="U68" s="21"/>
      <c r="V68" s="21"/>
      <c r="W68" s="21"/>
    </row>
    <row r="69" spans="1:23" s="98" customFormat="1" ht="13.5" hidden="1">
      <c r="A69" s="77"/>
      <c r="B69" s="102"/>
      <c r="C69" s="102">
        <f>'GASTOS CONSOLIDADO'!B69</f>
        <v>250</v>
      </c>
      <c r="D69" s="43"/>
      <c r="E69" s="102"/>
      <c r="F69" s="102"/>
      <c r="G69" s="114" t="str">
        <f>'GASTOS CONSOLIDADO'!F69</f>
        <v>Alquileres y Derechos</v>
      </c>
      <c r="H69" s="3">
        <f>SUM(H70:H72)</f>
        <v>0</v>
      </c>
      <c r="I69" s="3">
        <f aca="true" t="shared" si="14" ref="I69:W69">SUM(I70:I72)</f>
        <v>0</v>
      </c>
      <c r="J69" s="3">
        <f t="shared" si="14"/>
        <v>0</v>
      </c>
      <c r="K69" s="3">
        <f t="shared" si="14"/>
        <v>0</v>
      </c>
      <c r="L69" s="3">
        <f t="shared" si="14"/>
        <v>0</v>
      </c>
      <c r="M69" s="3">
        <f t="shared" si="14"/>
        <v>0</v>
      </c>
      <c r="N69" s="3">
        <f t="shared" si="14"/>
        <v>0</v>
      </c>
      <c r="O69" s="3">
        <f>SUM(O70:O72)</f>
        <v>0</v>
      </c>
      <c r="P69" s="3">
        <f t="shared" si="14"/>
        <v>0</v>
      </c>
      <c r="Q69" s="3">
        <f t="shared" si="14"/>
        <v>0</v>
      </c>
      <c r="R69" s="3">
        <f t="shared" si="14"/>
        <v>0</v>
      </c>
      <c r="S69" s="3">
        <f t="shared" si="14"/>
        <v>0</v>
      </c>
      <c r="T69" s="3">
        <f t="shared" si="2"/>
        <v>0</v>
      </c>
      <c r="U69" s="3">
        <f t="shared" si="14"/>
        <v>0</v>
      </c>
      <c r="V69" s="3">
        <f t="shared" si="14"/>
        <v>0</v>
      </c>
      <c r="W69" s="3">
        <f t="shared" si="14"/>
        <v>0</v>
      </c>
    </row>
    <row r="70" spans="1:23" s="98" customFormat="1" ht="13.5" hidden="1">
      <c r="A70" s="77"/>
      <c r="B70" s="103"/>
      <c r="C70" s="103"/>
      <c r="D70" s="100"/>
      <c r="E70" s="2"/>
      <c r="F70" s="2"/>
      <c r="G70" s="11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>
        <f t="shared" si="2"/>
        <v>0</v>
      </c>
      <c r="U70" s="5"/>
      <c r="V70" s="5"/>
      <c r="W70" s="5"/>
    </row>
    <row r="71" spans="1:23" s="98" customFormat="1" ht="13.5" hidden="1">
      <c r="A71" s="77"/>
      <c r="B71" s="103"/>
      <c r="C71" s="103"/>
      <c r="D71" s="100"/>
      <c r="E71" s="2"/>
      <c r="F71" s="2"/>
      <c r="G71" s="11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>
        <f t="shared" si="2"/>
        <v>0</v>
      </c>
      <c r="U71" s="5"/>
      <c r="V71" s="5"/>
      <c r="W71" s="5"/>
    </row>
    <row r="72" spans="1:23" s="83" customFormat="1" ht="13.5" hidden="1">
      <c r="A72" s="77"/>
      <c r="B72" s="104"/>
      <c r="C72" s="104"/>
      <c r="D72" s="101"/>
      <c r="E72" s="17"/>
      <c r="F72" s="17"/>
      <c r="G72" s="139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>
        <f t="shared" si="2"/>
        <v>0</v>
      </c>
      <c r="U72" s="21"/>
      <c r="V72" s="21"/>
      <c r="W72" s="21"/>
    </row>
    <row r="73" spans="1:23" s="98" customFormat="1" ht="13.5" hidden="1">
      <c r="A73" s="77"/>
      <c r="B73" s="102"/>
      <c r="C73" s="102">
        <f>'GASTOS CONSOLIDADO'!B73</f>
        <v>260</v>
      </c>
      <c r="D73" s="43"/>
      <c r="E73" s="102"/>
      <c r="F73" s="102"/>
      <c r="G73" s="114" t="str">
        <f>'GASTOS CONSOLIDADO'!F73</f>
        <v>Servicios Técnicos y Profesionales</v>
      </c>
      <c r="H73" s="3">
        <f>SUM(H74:H77)</f>
        <v>0</v>
      </c>
      <c r="I73" s="3">
        <f aca="true" t="shared" si="15" ref="I73:W73">SUM(I74:I77)</f>
        <v>0</v>
      </c>
      <c r="J73" s="3">
        <f t="shared" si="15"/>
        <v>0</v>
      </c>
      <c r="K73" s="3">
        <f t="shared" si="15"/>
        <v>0</v>
      </c>
      <c r="L73" s="3">
        <f t="shared" si="15"/>
        <v>0</v>
      </c>
      <c r="M73" s="3">
        <f t="shared" si="15"/>
        <v>0</v>
      </c>
      <c r="N73" s="3">
        <f t="shared" si="15"/>
        <v>0</v>
      </c>
      <c r="O73" s="3">
        <f>SUM(O74:O77)</f>
        <v>0</v>
      </c>
      <c r="P73" s="3">
        <f t="shared" si="15"/>
        <v>0</v>
      </c>
      <c r="Q73" s="3">
        <f t="shared" si="15"/>
        <v>0</v>
      </c>
      <c r="R73" s="3">
        <f t="shared" si="15"/>
        <v>0</v>
      </c>
      <c r="S73" s="3">
        <f t="shared" si="15"/>
        <v>0</v>
      </c>
      <c r="T73" s="3">
        <f t="shared" si="2"/>
        <v>0</v>
      </c>
      <c r="U73" s="3">
        <f t="shared" si="15"/>
        <v>0</v>
      </c>
      <c r="V73" s="3">
        <f t="shared" si="15"/>
        <v>0</v>
      </c>
      <c r="W73" s="3">
        <f t="shared" si="15"/>
        <v>0</v>
      </c>
    </row>
    <row r="74" spans="1:23" s="98" customFormat="1" ht="13.5" hidden="1">
      <c r="A74" s="77"/>
      <c r="B74" s="103"/>
      <c r="C74" s="103"/>
      <c r="D74" s="100"/>
      <c r="E74" s="2"/>
      <c r="F74" s="2"/>
      <c r="G74" s="11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>
        <f t="shared" si="2"/>
        <v>0</v>
      </c>
      <c r="U74" s="5"/>
      <c r="V74" s="5"/>
      <c r="W74" s="5"/>
    </row>
    <row r="75" spans="1:23" s="98" customFormat="1" ht="13.5" hidden="1">
      <c r="A75" s="77"/>
      <c r="B75" s="103"/>
      <c r="C75" s="103"/>
      <c r="D75" s="100"/>
      <c r="E75" s="2"/>
      <c r="F75" s="2"/>
      <c r="G75" s="11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>
        <f t="shared" si="2"/>
        <v>0</v>
      </c>
      <c r="U75" s="5"/>
      <c r="V75" s="5"/>
      <c r="W75" s="5"/>
    </row>
    <row r="76" spans="1:23" s="98" customFormat="1" ht="13.5" hidden="1">
      <c r="A76" s="77"/>
      <c r="B76" s="103"/>
      <c r="C76" s="103"/>
      <c r="D76" s="100"/>
      <c r="E76" s="2"/>
      <c r="F76" s="2"/>
      <c r="G76" s="11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>
        <f t="shared" si="2"/>
        <v>0</v>
      </c>
      <c r="U76" s="5"/>
      <c r="V76" s="5"/>
      <c r="W76" s="5"/>
    </row>
    <row r="77" spans="1:23" s="83" customFormat="1" ht="13.5" hidden="1">
      <c r="A77" s="77"/>
      <c r="B77" s="104"/>
      <c r="C77" s="104"/>
      <c r="D77" s="101"/>
      <c r="E77" s="17"/>
      <c r="F77" s="17"/>
      <c r="G77" s="139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>
        <f t="shared" si="2"/>
        <v>0</v>
      </c>
      <c r="U77" s="21"/>
      <c r="V77" s="21"/>
      <c r="W77" s="21"/>
    </row>
    <row r="78" spans="1:23" s="98" customFormat="1" ht="13.5" hidden="1">
      <c r="A78" s="77"/>
      <c r="B78" s="102"/>
      <c r="C78" s="102">
        <f>'GASTOS CONSOLIDADO'!B78</f>
        <v>270</v>
      </c>
      <c r="D78" s="43"/>
      <c r="E78" s="1"/>
      <c r="F78" s="1"/>
      <c r="G78" s="114" t="str">
        <f>'GASTOS CONSOLIDADO'!F78</f>
        <v>Servicio Social</v>
      </c>
      <c r="H78" s="3">
        <f>SUM(H79:H83)</f>
        <v>0</v>
      </c>
      <c r="I78" s="3">
        <f aca="true" t="shared" si="16" ref="I78:W78">SUM(I79:I83)</f>
        <v>0</v>
      </c>
      <c r="J78" s="3">
        <f t="shared" si="16"/>
        <v>0</v>
      </c>
      <c r="K78" s="3">
        <f t="shared" si="16"/>
        <v>0</v>
      </c>
      <c r="L78" s="3">
        <f t="shared" si="16"/>
        <v>0</v>
      </c>
      <c r="M78" s="3">
        <f t="shared" si="16"/>
        <v>0</v>
      </c>
      <c r="N78" s="3">
        <f t="shared" si="16"/>
        <v>0</v>
      </c>
      <c r="O78" s="3">
        <f>SUM(O79:O83)</f>
        <v>0</v>
      </c>
      <c r="P78" s="3">
        <f t="shared" si="16"/>
        <v>0</v>
      </c>
      <c r="Q78" s="3">
        <f t="shared" si="16"/>
        <v>0</v>
      </c>
      <c r="R78" s="3">
        <f t="shared" si="16"/>
        <v>0</v>
      </c>
      <c r="S78" s="3">
        <f t="shared" si="16"/>
        <v>0</v>
      </c>
      <c r="T78" s="3">
        <f t="shared" si="2"/>
        <v>0</v>
      </c>
      <c r="U78" s="3">
        <f t="shared" si="16"/>
        <v>0</v>
      </c>
      <c r="V78" s="3">
        <f t="shared" si="16"/>
        <v>0</v>
      </c>
      <c r="W78" s="3">
        <f t="shared" si="16"/>
        <v>0</v>
      </c>
    </row>
    <row r="79" spans="1:23" s="98" customFormat="1" ht="13.5" hidden="1">
      <c r="A79" s="77"/>
      <c r="B79" s="103"/>
      <c r="C79" s="103"/>
      <c r="D79" s="100"/>
      <c r="E79" s="2"/>
      <c r="F79" s="2"/>
      <c r="G79" s="11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>
        <f aca="true" t="shared" si="17" ref="T79:T142">+O79+P79+Q79+R79+S79</f>
        <v>0</v>
      </c>
      <c r="U79" s="5"/>
      <c r="V79" s="5"/>
      <c r="W79" s="5"/>
    </row>
    <row r="80" spans="1:23" s="98" customFormat="1" ht="13.5" hidden="1">
      <c r="A80" s="77"/>
      <c r="B80" s="103"/>
      <c r="C80" s="103"/>
      <c r="D80" s="100"/>
      <c r="E80" s="2"/>
      <c r="F80" s="2"/>
      <c r="G80" s="11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>
        <f t="shared" si="17"/>
        <v>0</v>
      </c>
      <c r="U80" s="5"/>
      <c r="V80" s="5"/>
      <c r="W80" s="5"/>
    </row>
    <row r="81" spans="1:23" s="98" customFormat="1" ht="13.5" hidden="1">
      <c r="A81" s="77"/>
      <c r="B81" s="103"/>
      <c r="C81" s="103"/>
      <c r="D81" s="100"/>
      <c r="E81" s="2"/>
      <c r="F81" s="2"/>
      <c r="G81" s="11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>
        <f t="shared" si="17"/>
        <v>0</v>
      </c>
      <c r="U81" s="5"/>
      <c r="V81" s="5"/>
      <c r="W81" s="5"/>
    </row>
    <row r="82" spans="1:23" s="98" customFormat="1" ht="13.5" hidden="1">
      <c r="A82" s="77"/>
      <c r="B82" s="103"/>
      <c r="C82" s="103"/>
      <c r="D82" s="100"/>
      <c r="E82" s="2"/>
      <c r="F82" s="2"/>
      <c r="G82" s="11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>
        <f t="shared" si="17"/>
        <v>0</v>
      </c>
      <c r="U82" s="5"/>
      <c r="V82" s="5"/>
      <c r="W82" s="5"/>
    </row>
    <row r="83" spans="1:23" s="83" customFormat="1" ht="13.5" hidden="1">
      <c r="A83" s="77"/>
      <c r="B83" s="104"/>
      <c r="C83" s="104"/>
      <c r="D83" s="101"/>
      <c r="E83" s="17"/>
      <c r="F83" s="17"/>
      <c r="G83" s="139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>
        <f t="shared" si="17"/>
        <v>0</v>
      </c>
      <c r="U83" s="21"/>
      <c r="V83" s="21"/>
      <c r="W83" s="21"/>
    </row>
    <row r="84" spans="1:23" s="98" customFormat="1" ht="13.5" hidden="1">
      <c r="A84" s="77"/>
      <c r="B84" s="102"/>
      <c r="C84" s="102">
        <f>'GASTOS CONSOLIDADO'!B84</f>
        <v>280</v>
      </c>
      <c r="D84" s="43"/>
      <c r="E84" s="1"/>
      <c r="F84" s="1"/>
      <c r="G84" s="114" t="str">
        <f>'GASTOS CONSOLIDADO'!F84</f>
        <v>Otros Servicios Generales</v>
      </c>
      <c r="H84" s="3">
        <f>SUM(H85:H87)</f>
        <v>0</v>
      </c>
      <c r="I84" s="3">
        <f aca="true" t="shared" si="18" ref="I84:W84">SUM(I85:I87)</f>
        <v>0</v>
      </c>
      <c r="J84" s="3">
        <f t="shared" si="18"/>
        <v>0</v>
      </c>
      <c r="K84" s="3">
        <f t="shared" si="18"/>
        <v>0</v>
      </c>
      <c r="L84" s="3">
        <f t="shared" si="18"/>
        <v>0</v>
      </c>
      <c r="M84" s="3">
        <f t="shared" si="18"/>
        <v>0</v>
      </c>
      <c r="N84" s="3">
        <f t="shared" si="18"/>
        <v>0</v>
      </c>
      <c r="O84" s="3">
        <f>SUM(O85:O87)</f>
        <v>0</v>
      </c>
      <c r="P84" s="3">
        <f t="shared" si="18"/>
        <v>0</v>
      </c>
      <c r="Q84" s="3">
        <f t="shared" si="18"/>
        <v>0</v>
      </c>
      <c r="R84" s="3">
        <f t="shared" si="18"/>
        <v>0</v>
      </c>
      <c r="S84" s="3">
        <f t="shared" si="18"/>
        <v>0</v>
      </c>
      <c r="T84" s="3">
        <f t="shared" si="17"/>
        <v>0</v>
      </c>
      <c r="U84" s="3">
        <f t="shared" si="18"/>
        <v>0</v>
      </c>
      <c r="V84" s="3">
        <f t="shared" si="18"/>
        <v>0</v>
      </c>
      <c r="W84" s="3">
        <f t="shared" si="18"/>
        <v>0</v>
      </c>
    </row>
    <row r="85" spans="1:23" s="98" customFormat="1" ht="13.5" hidden="1">
      <c r="A85" s="77"/>
      <c r="B85" s="103"/>
      <c r="C85" s="103"/>
      <c r="D85" s="100"/>
      <c r="E85" s="2"/>
      <c r="F85" s="2"/>
      <c r="G85" s="11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>
        <f t="shared" si="17"/>
        <v>0</v>
      </c>
      <c r="U85" s="5"/>
      <c r="V85" s="5"/>
      <c r="W85" s="5"/>
    </row>
    <row r="86" spans="1:23" s="98" customFormat="1" ht="13.5" hidden="1">
      <c r="A86" s="77"/>
      <c r="B86" s="103"/>
      <c r="C86" s="103"/>
      <c r="D86" s="100"/>
      <c r="E86" s="2"/>
      <c r="F86" s="2"/>
      <c r="G86" s="11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>
        <f t="shared" si="17"/>
        <v>0</v>
      </c>
      <c r="U86" s="5"/>
      <c r="V86" s="5"/>
      <c r="W86" s="5"/>
    </row>
    <row r="87" spans="1:23" s="83" customFormat="1" ht="13.5" hidden="1">
      <c r="A87" s="77"/>
      <c r="B87" s="104"/>
      <c r="C87" s="104"/>
      <c r="D87" s="101"/>
      <c r="E87" s="17"/>
      <c r="F87" s="17"/>
      <c r="G87" s="139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>
        <f t="shared" si="17"/>
        <v>0</v>
      </c>
      <c r="U87" s="21"/>
      <c r="V87" s="21"/>
      <c r="W87" s="21"/>
    </row>
    <row r="88" spans="1:23" s="98" customFormat="1" ht="13.5" hidden="1">
      <c r="A88" s="77"/>
      <c r="B88" s="43"/>
      <c r="C88" s="43">
        <f>'GASTOS CONSOLIDADO'!B88</f>
        <v>290</v>
      </c>
      <c r="D88" s="43"/>
      <c r="E88" s="1"/>
      <c r="F88" s="1"/>
      <c r="G88" s="29" t="str">
        <f>'GASTOS CONSOLIDADO'!F88</f>
        <v>Servicios de Capacitación y Adiestramiento</v>
      </c>
      <c r="H88" s="3">
        <f>SUM(H89:H90)</f>
        <v>0</v>
      </c>
      <c r="I88" s="3">
        <f aca="true" t="shared" si="19" ref="I88:W88">SUM(I89:I90)</f>
        <v>0</v>
      </c>
      <c r="J88" s="3">
        <f t="shared" si="19"/>
        <v>0</v>
      </c>
      <c r="K88" s="3">
        <f t="shared" si="19"/>
        <v>0</v>
      </c>
      <c r="L88" s="3">
        <f t="shared" si="19"/>
        <v>0</v>
      </c>
      <c r="M88" s="3">
        <f t="shared" si="19"/>
        <v>0</v>
      </c>
      <c r="N88" s="3">
        <f t="shared" si="19"/>
        <v>0</v>
      </c>
      <c r="O88" s="3">
        <f>SUM(O89:O90)</f>
        <v>0</v>
      </c>
      <c r="P88" s="3">
        <f t="shared" si="19"/>
        <v>0</v>
      </c>
      <c r="Q88" s="3">
        <f t="shared" si="19"/>
        <v>0</v>
      </c>
      <c r="R88" s="3">
        <f t="shared" si="19"/>
        <v>0</v>
      </c>
      <c r="S88" s="3">
        <f t="shared" si="19"/>
        <v>0</v>
      </c>
      <c r="T88" s="3">
        <f t="shared" si="17"/>
        <v>0</v>
      </c>
      <c r="U88" s="3">
        <f t="shared" si="19"/>
        <v>0</v>
      </c>
      <c r="V88" s="3">
        <f t="shared" si="19"/>
        <v>0</v>
      </c>
      <c r="W88" s="3">
        <f t="shared" si="19"/>
        <v>0</v>
      </c>
    </row>
    <row r="89" spans="1:23" s="98" customFormat="1" ht="13.5" hidden="1">
      <c r="A89" s="77"/>
      <c r="B89" s="100"/>
      <c r="C89" s="100"/>
      <c r="D89" s="100"/>
      <c r="E89" s="2"/>
      <c r="F89" s="2"/>
      <c r="G89" s="26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>
        <f t="shared" si="17"/>
        <v>0</v>
      </c>
      <c r="U89" s="5"/>
      <c r="V89" s="5"/>
      <c r="W89" s="5"/>
    </row>
    <row r="90" spans="1:23" s="98" customFormat="1" ht="13.5" hidden="1">
      <c r="A90" s="77"/>
      <c r="B90" s="100"/>
      <c r="C90" s="100"/>
      <c r="D90" s="100"/>
      <c r="E90" s="2"/>
      <c r="F90" s="2"/>
      <c r="G90" s="26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>
        <f t="shared" si="17"/>
        <v>0</v>
      </c>
      <c r="U90" s="5"/>
      <c r="V90" s="5"/>
      <c r="W90" s="5"/>
    </row>
    <row r="91" spans="1:23" s="83" customFormat="1" ht="13.5" hidden="1">
      <c r="A91" s="77"/>
      <c r="B91" s="104"/>
      <c r="C91" s="104"/>
      <c r="D91" s="101"/>
      <c r="E91" s="17"/>
      <c r="F91" s="17"/>
      <c r="G91" s="139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>
        <f t="shared" si="17"/>
        <v>0</v>
      </c>
      <c r="U91" s="21"/>
      <c r="V91" s="21"/>
      <c r="W91" s="21"/>
    </row>
    <row r="92" spans="1:23" s="98" customFormat="1" ht="13.5" hidden="1">
      <c r="A92" s="77"/>
      <c r="B92" s="43">
        <f>'GASTOS CONSOLIDADO'!A92</f>
        <v>300</v>
      </c>
      <c r="C92" s="43"/>
      <c r="D92" s="43"/>
      <c r="E92" s="1"/>
      <c r="F92" s="1"/>
      <c r="G92" s="114" t="str">
        <f>'GASTOS CONSOLIDADO'!F92</f>
        <v>BIENES DE CONSUMO E INSUMOS</v>
      </c>
      <c r="H92" s="3">
        <f>H93+H97+H101+H107+H113+H117+H123</f>
        <v>0</v>
      </c>
      <c r="I92" s="3">
        <f aca="true" t="shared" si="20" ref="I92:W92">I93+I97+I101+I107+I113+I117+I123</f>
        <v>0</v>
      </c>
      <c r="J92" s="3">
        <f t="shared" si="20"/>
        <v>0</v>
      </c>
      <c r="K92" s="3">
        <f t="shared" si="20"/>
        <v>0</v>
      </c>
      <c r="L92" s="3">
        <f t="shared" si="20"/>
        <v>0</v>
      </c>
      <c r="M92" s="3">
        <f t="shared" si="20"/>
        <v>0</v>
      </c>
      <c r="N92" s="3">
        <f t="shared" si="20"/>
        <v>0</v>
      </c>
      <c r="O92" s="3">
        <f>O93+O97+O101+O107+O113+O117+O123</f>
        <v>0</v>
      </c>
      <c r="P92" s="3">
        <f t="shared" si="20"/>
        <v>0</v>
      </c>
      <c r="Q92" s="3">
        <f t="shared" si="20"/>
        <v>0</v>
      </c>
      <c r="R92" s="3">
        <f t="shared" si="20"/>
        <v>0</v>
      </c>
      <c r="S92" s="3">
        <f t="shared" si="20"/>
        <v>0</v>
      </c>
      <c r="T92" s="3">
        <f t="shared" si="17"/>
        <v>0</v>
      </c>
      <c r="U92" s="3">
        <f t="shared" si="20"/>
        <v>0</v>
      </c>
      <c r="V92" s="3">
        <f t="shared" si="20"/>
        <v>0</v>
      </c>
      <c r="W92" s="3">
        <f t="shared" si="20"/>
        <v>0</v>
      </c>
    </row>
    <row r="93" spans="1:23" s="98" customFormat="1" ht="13.5" hidden="1">
      <c r="A93" s="77"/>
      <c r="B93" s="102"/>
      <c r="C93" s="102">
        <f>'GASTOS CONSOLIDADO'!B93</f>
        <v>310</v>
      </c>
      <c r="D93" s="43"/>
      <c r="E93" s="1"/>
      <c r="F93" s="1"/>
      <c r="G93" s="114" t="str">
        <f>'GASTOS CONSOLIDADO'!F93</f>
        <v>Productos  Alimenticios</v>
      </c>
      <c r="H93" s="3">
        <f>SUM(H94:H96)</f>
        <v>0</v>
      </c>
      <c r="I93" s="3">
        <f aca="true" t="shared" si="21" ref="I93:W93">SUM(I94:I96)</f>
        <v>0</v>
      </c>
      <c r="J93" s="3">
        <f t="shared" si="21"/>
        <v>0</v>
      </c>
      <c r="K93" s="3">
        <f t="shared" si="21"/>
        <v>0</v>
      </c>
      <c r="L93" s="3">
        <f t="shared" si="21"/>
        <v>0</v>
      </c>
      <c r="M93" s="3">
        <f t="shared" si="21"/>
        <v>0</v>
      </c>
      <c r="N93" s="3">
        <f t="shared" si="21"/>
        <v>0</v>
      </c>
      <c r="O93" s="3">
        <f>SUM(O94:O96)</f>
        <v>0</v>
      </c>
      <c r="P93" s="3">
        <f t="shared" si="21"/>
        <v>0</v>
      </c>
      <c r="Q93" s="3">
        <f t="shared" si="21"/>
        <v>0</v>
      </c>
      <c r="R93" s="3">
        <f t="shared" si="21"/>
        <v>0</v>
      </c>
      <c r="S93" s="3">
        <f t="shared" si="21"/>
        <v>0</v>
      </c>
      <c r="T93" s="3">
        <f t="shared" si="17"/>
        <v>0</v>
      </c>
      <c r="U93" s="3">
        <f t="shared" si="21"/>
        <v>0</v>
      </c>
      <c r="V93" s="3">
        <f t="shared" si="21"/>
        <v>0</v>
      </c>
      <c r="W93" s="3">
        <f t="shared" si="21"/>
        <v>0</v>
      </c>
    </row>
    <row r="94" spans="1:23" s="98" customFormat="1" ht="13.5" hidden="1">
      <c r="A94" s="77"/>
      <c r="B94" s="103"/>
      <c r="C94" s="103"/>
      <c r="D94" s="100"/>
      <c r="E94" s="2"/>
      <c r="F94" s="2"/>
      <c r="G94" s="11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>
        <f t="shared" si="17"/>
        <v>0</v>
      </c>
      <c r="U94" s="5"/>
      <c r="V94" s="5"/>
      <c r="W94" s="5"/>
    </row>
    <row r="95" spans="1:23" s="98" customFormat="1" ht="13.5" hidden="1">
      <c r="A95" s="77"/>
      <c r="B95" s="103"/>
      <c r="C95" s="103"/>
      <c r="D95" s="100"/>
      <c r="E95" s="2"/>
      <c r="F95" s="2"/>
      <c r="G95" s="11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>
        <f t="shared" si="17"/>
        <v>0</v>
      </c>
      <c r="U95" s="5"/>
      <c r="V95" s="5"/>
      <c r="W95" s="5"/>
    </row>
    <row r="96" spans="1:23" s="83" customFormat="1" ht="13.5" hidden="1">
      <c r="A96" s="77"/>
      <c r="B96" s="104"/>
      <c r="C96" s="104"/>
      <c r="D96" s="101"/>
      <c r="E96" s="17"/>
      <c r="F96" s="17"/>
      <c r="G96" s="139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>
        <f t="shared" si="17"/>
        <v>0</v>
      </c>
      <c r="U96" s="21"/>
      <c r="V96" s="21"/>
      <c r="W96" s="21"/>
    </row>
    <row r="97" spans="1:23" s="98" customFormat="1" ht="13.5" hidden="1">
      <c r="A97" s="77"/>
      <c r="B97" s="102"/>
      <c r="C97" s="102">
        <f>'GASTOS CONSOLIDADO'!B97</f>
        <v>320</v>
      </c>
      <c r="D97" s="43"/>
      <c r="E97" s="1"/>
      <c r="F97" s="1"/>
      <c r="G97" s="114" t="str">
        <f>'GASTOS CONSOLIDADO'!F97</f>
        <v>Textiles y Vestuarios</v>
      </c>
      <c r="H97" s="3">
        <f>SUM(H98:H100)</f>
        <v>0</v>
      </c>
      <c r="I97" s="3">
        <f aca="true" t="shared" si="22" ref="I97:W97">SUM(I98:I100)</f>
        <v>0</v>
      </c>
      <c r="J97" s="3">
        <f t="shared" si="22"/>
        <v>0</v>
      </c>
      <c r="K97" s="3">
        <f t="shared" si="22"/>
        <v>0</v>
      </c>
      <c r="L97" s="3">
        <f t="shared" si="22"/>
        <v>0</v>
      </c>
      <c r="M97" s="3">
        <f t="shared" si="22"/>
        <v>0</v>
      </c>
      <c r="N97" s="3">
        <f t="shared" si="22"/>
        <v>0</v>
      </c>
      <c r="O97" s="3">
        <f>SUM(O98:O100)</f>
        <v>0</v>
      </c>
      <c r="P97" s="3">
        <f t="shared" si="22"/>
        <v>0</v>
      </c>
      <c r="Q97" s="3">
        <f t="shared" si="22"/>
        <v>0</v>
      </c>
      <c r="R97" s="3">
        <f t="shared" si="22"/>
        <v>0</v>
      </c>
      <c r="S97" s="3">
        <f t="shared" si="22"/>
        <v>0</v>
      </c>
      <c r="T97" s="3">
        <f t="shared" si="17"/>
        <v>0</v>
      </c>
      <c r="U97" s="3">
        <f t="shared" si="22"/>
        <v>0</v>
      </c>
      <c r="V97" s="3">
        <f t="shared" si="22"/>
        <v>0</v>
      </c>
      <c r="W97" s="3">
        <f t="shared" si="22"/>
        <v>0</v>
      </c>
    </row>
    <row r="98" spans="1:23" s="98" customFormat="1" ht="13.5" hidden="1">
      <c r="A98" s="77"/>
      <c r="B98" s="103"/>
      <c r="C98" s="103"/>
      <c r="D98" s="100"/>
      <c r="E98" s="2"/>
      <c r="F98" s="2"/>
      <c r="G98" s="11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>
        <f t="shared" si="17"/>
        <v>0</v>
      </c>
      <c r="U98" s="5"/>
      <c r="V98" s="5"/>
      <c r="W98" s="5"/>
    </row>
    <row r="99" spans="1:23" s="98" customFormat="1" ht="13.5" hidden="1">
      <c r="A99" s="77"/>
      <c r="B99" s="103"/>
      <c r="C99" s="103"/>
      <c r="D99" s="100"/>
      <c r="E99" s="2"/>
      <c r="F99" s="2"/>
      <c r="G99" s="11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>
        <f t="shared" si="17"/>
        <v>0</v>
      </c>
      <c r="U99" s="5"/>
      <c r="V99" s="5"/>
      <c r="W99" s="5"/>
    </row>
    <row r="100" spans="1:23" s="83" customFormat="1" ht="13.5" hidden="1">
      <c r="A100" s="77"/>
      <c r="B100" s="104"/>
      <c r="C100" s="104"/>
      <c r="D100" s="101"/>
      <c r="E100" s="17"/>
      <c r="F100" s="17"/>
      <c r="G100" s="139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>
        <f t="shared" si="17"/>
        <v>0</v>
      </c>
      <c r="U100" s="21"/>
      <c r="V100" s="21"/>
      <c r="W100" s="21"/>
    </row>
    <row r="101" spans="1:23" s="98" customFormat="1" ht="13.5" hidden="1">
      <c r="A101" s="77"/>
      <c r="B101" s="102"/>
      <c r="C101" s="102">
        <f>'GASTOS CONSOLIDADO'!B101</f>
        <v>330</v>
      </c>
      <c r="D101" s="43"/>
      <c r="E101" s="1"/>
      <c r="F101" s="1"/>
      <c r="G101" s="114" t="str">
        <f>'GASTOS CONSOLIDADO'!F101</f>
        <v>Productos de Papel, Cartón e Impresos</v>
      </c>
      <c r="H101" s="3">
        <f>SUM(H102:H106)</f>
        <v>0</v>
      </c>
      <c r="I101" s="3">
        <f aca="true" t="shared" si="23" ref="I101:W101">SUM(I102:I106)</f>
        <v>0</v>
      </c>
      <c r="J101" s="3">
        <f t="shared" si="23"/>
        <v>0</v>
      </c>
      <c r="K101" s="3">
        <f t="shared" si="23"/>
        <v>0</v>
      </c>
      <c r="L101" s="3">
        <f t="shared" si="23"/>
        <v>0</v>
      </c>
      <c r="M101" s="3">
        <f t="shared" si="23"/>
        <v>0</v>
      </c>
      <c r="N101" s="3">
        <f t="shared" si="23"/>
        <v>0</v>
      </c>
      <c r="O101" s="3">
        <f>SUM(O102:O106)</f>
        <v>0</v>
      </c>
      <c r="P101" s="3">
        <f t="shared" si="23"/>
        <v>0</v>
      </c>
      <c r="Q101" s="3">
        <f t="shared" si="23"/>
        <v>0</v>
      </c>
      <c r="R101" s="3">
        <f t="shared" si="23"/>
        <v>0</v>
      </c>
      <c r="S101" s="3">
        <f t="shared" si="23"/>
        <v>0</v>
      </c>
      <c r="T101" s="3">
        <f t="shared" si="17"/>
        <v>0</v>
      </c>
      <c r="U101" s="3">
        <f t="shared" si="23"/>
        <v>0</v>
      </c>
      <c r="V101" s="3">
        <f t="shared" si="23"/>
        <v>0</v>
      </c>
      <c r="W101" s="3">
        <f t="shared" si="23"/>
        <v>0</v>
      </c>
    </row>
    <row r="102" spans="1:23" s="98" customFormat="1" ht="13.5" hidden="1">
      <c r="A102" s="77"/>
      <c r="B102" s="103"/>
      <c r="C102" s="103"/>
      <c r="D102" s="100"/>
      <c r="E102" s="2"/>
      <c r="F102" s="2"/>
      <c r="G102" s="11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>
        <f t="shared" si="17"/>
        <v>0</v>
      </c>
      <c r="U102" s="5"/>
      <c r="V102" s="5"/>
      <c r="W102" s="5"/>
    </row>
    <row r="103" spans="1:23" s="98" customFormat="1" ht="13.5" hidden="1">
      <c r="A103" s="77"/>
      <c r="B103" s="103"/>
      <c r="C103" s="103"/>
      <c r="D103" s="100"/>
      <c r="E103" s="2"/>
      <c r="F103" s="2"/>
      <c r="G103" s="11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>
        <f t="shared" si="17"/>
        <v>0</v>
      </c>
      <c r="U103" s="5"/>
      <c r="V103" s="5"/>
      <c r="W103" s="5"/>
    </row>
    <row r="104" spans="1:23" s="98" customFormat="1" ht="13.5" hidden="1">
      <c r="A104" s="77"/>
      <c r="B104" s="103"/>
      <c r="C104" s="103"/>
      <c r="D104" s="100"/>
      <c r="E104" s="2"/>
      <c r="F104" s="2"/>
      <c r="G104" s="11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>
        <f t="shared" si="17"/>
        <v>0</v>
      </c>
      <c r="U104" s="5"/>
      <c r="V104" s="5"/>
      <c r="W104" s="5"/>
    </row>
    <row r="105" spans="1:23" s="98" customFormat="1" ht="13.5" hidden="1">
      <c r="A105" s="77"/>
      <c r="B105" s="103"/>
      <c r="C105" s="103"/>
      <c r="D105" s="100"/>
      <c r="E105" s="2"/>
      <c r="F105" s="2"/>
      <c r="G105" s="11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>
        <f t="shared" si="17"/>
        <v>0</v>
      </c>
      <c r="U105" s="5"/>
      <c r="V105" s="5"/>
      <c r="W105" s="5"/>
    </row>
    <row r="106" spans="1:23" s="83" customFormat="1" ht="13.5" hidden="1">
      <c r="A106" s="77"/>
      <c r="B106" s="104"/>
      <c r="C106" s="104"/>
      <c r="D106" s="101"/>
      <c r="E106" s="17"/>
      <c r="F106" s="17"/>
      <c r="G106" s="139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>
        <f t="shared" si="17"/>
        <v>0</v>
      </c>
      <c r="U106" s="21"/>
      <c r="V106" s="21"/>
      <c r="W106" s="21"/>
    </row>
    <row r="107" spans="1:23" s="98" customFormat="1" ht="13.5" hidden="1">
      <c r="A107" s="77"/>
      <c r="B107" s="102"/>
      <c r="C107" s="102">
        <f>'GASTOS CONSOLIDADO'!B107</f>
        <v>340</v>
      </c>
      <c r="D107" s="43"/>
      <c r="E107" s="1"/>
      <c r="F107" s="1"/>
      <c r="G107" s="114" t="str">
        <f>'GASTOS CONSOLIDADO'!F107</f>
        <v>Bienes de Consumo de Oficina e Insumos</v>
      </c>
      <c r="H107" s="3">
        <f>SUM(H108:H112)</f>
        <v>0</v>
      </c>
      <c r="I107" s="3">
        <f aca="true" t="shared" si="24" ref="I107:W107">SUM(I108:I112)</f>
        <v>0</v>
      </c>
      <c r="J107" s="3">
        <f t="shared" si="24"/>
        <v>0</v>
      </c>
      <c r="K107" s="3">
        <f t="shared" si="24"/>
        <v>0</v>
      </c>
      <c r="L107" s="3">
        <f t="shared" si="24"/>
        <v>0</v>
      </c>
      <c r="M107" s="3">
        <f t="shared" si="24"/>
        <v>0</v>
      </c>
      <c r="N107" s="3">
        <f t="shared" si="24"/>
        <v>0</v>
      </c>
      <c r="O107" s="3">
        <f>SUM(O108:O112)</f>
        <v>0</v>
      </c>
      <c r="P107" s="3">
        <f t="shared" si="24"/>
        <v>0</v>
      </c>
      <c r="Q107" s="3">
        <f t="shared" si="24"/>
        <v>0</v>
      </c>
      <c r="R107" s="3">
        <f t="shared" si="24"/>
        <v>0</v>
      </c>
      <c r="S107" s="3">
        <f t="shared" si="24"/>
        <v>0</v>
      </c>
      <c r="T107" s="3">
        <f t="shared" si="17"/>
        <v>0</v>
      </c>
      <c r="U107" s="3">
        <f t="shared" si="24"/>
        <v>0</v>
      </c>
      <c r="V107" s="3">
        <f t="shared" si="24"/>
        <v>0</v>
      </c>
      <c r="W107" s="3">
        <f t="shared" si="24"/>
        <v>0</v>
      </c>
    </row>
    <row r="108" spans="1:23" s="98" customFormat="1" ht="13.5" hidden="1">
      <c r="A108" s="77"/>
      <c r="B108" s="103"/>
      <c r="C108" s="103"/>
      <c r="D108" s="100"/>
      <c r="E108" s="2"/>
      <c r="F108" s="2"/>
      <c r="G108" s="11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>
        <f t="shared" si="17"/>
        <v>0</v>
      </c>
      <c r="U108" s="5"/>
      <c r="V108" s="5"/>
      <c r="W108" s="5"/>
    </row>
    <row r="109" spans="1:23" s="98" customFormat="1" ht="13.5" hidden="1">
      <c r="A109" s="77"/>
      <c r="B109" s="103"/>
      <c r="C109" s="103"/>
      <c r="D109" s="100"/>
      <c r="E109" s="2"/>
      <c r="F109" s="2"/>
      <c r="G109" s="11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>
        <f t="shared" si="17"/>
        <v>0</v>
      </c>
      <c r="U109" s="5"/>
      <c r="V109" s="5"/>
      <c r="W109" s="5"/>
    </row>
    <row r="110" spans="1:23" s="98" customFormat="1" ht="13.5" hidden="1">
      <c r="A110" s="77"/>
      <c r="B110" s="103"/>
      <c r="C110" s="103"/>
      <c r="D110" s="100"/>
      <c r="E110" s="2"/>
      <c r="F110" s="2"/>
      <c r="G110" s="11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>
        <f t="shared" si="17"/>
        <v>0</v>
      </c>
      <c r="U110" s="5"/>
      <c r="V110" s="5"/>
      <c r="W110" s="5"/>
    </row>
    <row r="111" spans="1:23" s="98" customFormat="1" ht="13.5" hidden="1">
      <c r="A111" s="77"/>
      <c r="B111" s="103"/>
      <c r="C111" s="103"/>
      <c r="D111" s="100"/>
      <c r="E111" s="2"/>
      <c r="F111" s="2"/>
      <c r="G111" s="11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>
        <f t="shared" si="17"/>
        <v>0</v>
      </c>
      <c r="U111" s="5"/>
      <c r="V111" s="5"/>
      <c r="W111" s="5"/>
    </row>
    <row r="112" spans="1:23" s="83" customFormat="1" ht="13.5" hidden="1">
      <c r="A112" s="77"/>
      <c r="B112" s="104"/>
      <c r="C112" s="104"/>
      <c r="D112" s="101"/>
      <c r="E112" s="17"/>
      <c r="F112" s="17"/>
      <c r="G112" s="139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>
        <f t="shared" si="17"/>
        <v>0</v>
      </c>
      <c r="U112" s="21"/>
      <c r="V112" s="21"/>
      <c r="W112" s="21"/>
    </row>
    <row r="113" spans="1:23" s="98" customFormat="1" ht="13.5" hidden="1">
      <c r="A113" s="77"/>
      <c r="B113" s="102"/>
      <c r="C113" s="102">
        <f>'GASTOS CONSOLIDADO'!B113</f>
        <v>350</v>
      </c>
      <c r="D113" s="43"/>
      <c r="E113" s="1"/>
      <c r="F113" s="1"/>
      <c r="G113" s="114" t="str">
        <f>'GASTOS CONSOLIDADO'!F113</f>
        <v>Productos e Instrumentales Químic. y Medicinales</v>
      </c>
      <c r="H113" s="3">
        <f>SUM(H114:H116)</f>
        <v>0</v>
      </c>
      <c r="I113" s="3">
        <f aca="true" t="shared" si="25" ref="I113:W113">SUM(I114:I116)</f>
        <v>0</v>
      </c>
      <c r="J113" s="3">
        <f t="shared" si="25"/>
        <v>0</v>
      </c>
      <c r="K113" s="3">
        <f t="shared" si="25"/>
        <v>0</v>
      </c>
      <c r="L113" s="3">
        <f t="shared" si="25"/>
        <v>0</v>
      </c>
      <c r="M113" s="3">
        <f t="shared" si="25"/>
        <v>0</v>
      </c>
      <c r="N113" s="3">
        <f t="shared" si="25"/>
        <v>0</v>
      </c>
      <c r="O113" s="3">
        <f>SUM(O114:O116)</f>
        <v>0</v>
      </c>
      <c r="P113" s="3">
        <f t="shared" si="25"/>
        <v>0</v>
      </c>
      <c r="Q113" s="3">
        <f t="shared" si="25"/>
        <v>0</v>
      </c>
      <c r="R113" s="3">
        <f t="shared" si="25"/>
        <v>0</v>
      </c>
      <c r="S113" s="3">
        <f t="shared" si="25"/>
        <v>0</v>
      </c>
      <c r="T113" s="3">
        <f t="shared" si="17"/>
        <v>0</v>
      </c>
      <c r="U113" s="3">
        <f t="shared" si="25"/>
        <v>0</v>
      </c>
      <c r="V113" s="3">
        <f t="shared" si="25"/>
        <v>0</v>
      </c>
      <c r="W113" s="3">
        <f t="shared" si="25"/>
        <v>0</v>
      </c>
    </row>
    <row r="114" spans="1:23" s="98" customFormat="1" ht="13.5" hidden="1">
      <c r="A114" s="77"/>
      <c r="B114" s="103"/>
      <c r="C114" s="103"/>
      <c r="D114" s="100"/>
      <c r="E114" s="2"/>
      <c r="F114" s="2"/>
      <c r="G114" s="11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>
        <f t="shared" si="17"/>
        <v>0</v>
      </c>
      <c r="U114" s="5"/>
      <c r="V114" s="5"/>
      <c r="W114" s="5"/>
    </row>
    <row r="115" spans="1:23" s="98" customFormat="1" ht="13.5" hidden="1">
      <c r="A115" s="77"/>
      <c r="B115" s="103"/>
      <c r="C115" s="103"/>
      <c r="D115" s="100"/>
      <c r="E115" s="2"/>
      <c r="F115" s="2"/>
      <c r="G115" s="11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>
        <f t="shared" si="17"/>
        <v>0</v>
      </c>
      <c r="U115" s="5"/>
      <c r="V115" s="5"/>
      <c r="W115" s="5"/>
    </row>
    <row r="116" spans="1:23" s="83" customFormat="1" ht="13.5" hidden="1">
      <c r="A116" s="77"/>
      <c r="B116" s="104"/>
      <c r="C116" s="104"/>
      <c r="D116" s="101"/>
      <c r="E116" s="17"/>
      <c r="F116" s="17"/>
      <c r="G116" s="139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>
        <f t="shared" si="17"/>
        <v>0</v>
      </c>
      <c r="U116" s="21"/>
      <c r="V116" s="21"/>
      <c r="W116" s="21"/>
    </row>
    <row r="117" spans="1:23" s="98" customFormat="1" ht="13.5" hidden="1">
      <c r="A117" s="77"/>
      <c r="B117" s="102"/>
      <c r="C117" s="102">
        <f>'GASTOS CONSOLIDADO'!B117</f>
        <v>360</v>
      </c>
      <c r="D117" s="43"/>
      <c r="E117" s="1"/>
      <c r="F117" s="1"/>
      <c r="G117" s="114" t="str">
        <f>'GASTOS CONSOLIDADO'!F117</f>
        <v>Combustibles y Lubricantes</v>
      </c>
      <c r="H117" s="3">
        <f>SUM(H118:H122)</f>
        <v>0</v>
      </c>
      <c r="I117" s="3">
        <f aca="true" t="shared" si="26" ref="I117:W117">SUM(I118:I122)</f>
        <v>0</v>
      </c>
      <c r="J117" s="3">
        <f t="shared" si="26"/>
        <v>0</v>
      </c>
      <c r="K117" s="3">
        <f t="shared" si="26"/>
        <v>0</v>
      </c>
      <c r="L117" s="3">
        <f t="shared" si="26"/>
        <v>0</v>
      </c>
      <c r="M117" s="3">
        <f t="shared" si="26"/>
        <v>0</v>
      </c>
      <c r="N117" s="3">
        <f t="shared" si="26"/>
        <v>0</v>
      </c>
      <c r="O117" s="3">
        <f>SUM(O118:O122)</f>
        <v>0</v>
      </c>
      <c r="P117" s="3">
        <f t="shared" si="26"/>
        <v>0</v>
      </c>
      <c r="Q117" s="3">
        <f t="shared" si="26"/>
        <v>0</v>
      </c>
      <c r="R117" s="3">
        <f t="shared" si="26"/>
        <v>0</v>
      </c>
      <c r="S117" s="3">
        <f t="shared" si="26"/>
        <v>0</v>
      </c>
      <c r="T117" s="3">
        <f t="shared" si="17"/>
        <v>0</v>
      </c>
      <c r="U117" s="3">
        <f t="shared" si="26"/>
        <v>0</v>
      </c>
      <c r="V117" s="3">
        <f t="shared" si="26"/>
        <v>0</v>
      </c>
      <c r="W117" s="3">
        <f t="shared" si="26"/>
        <v>0</v>
      </c>
    </row>
    <row r="118" spans="1:23" s="98" customFormat="1" ht="13.5" hidden="1">
      <c r="A118" s="77"/>
      <c r="B118" s="103"/>
      <c r="C118" s="103"/>
      <c r="D118" s="100"/>
      <c r="E118" s="2"/>
      <c r="F118" s="2"/>
      <c r="G118" s="11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>
        <f t="shared" si="17"/>
        <v>0</v>
      </c>
      <c r="U118" s="5"/>
      <c r="V118" s="5"/>
      <c r="W118" s="5"/>
    </row>
    <row r="119" spans="1:23" s="98" customFormat="1" ht="13.5" hidden="1">
      <c r="A119" s="77"/>
      <c r="B119" s="103"/>
      <c r="C119" s="103"/>
      <c r="D119" s="100"/>
      <c r="E119" s="2"/>
      <c r="F119" s="2"/>
      <c r="G119" s="11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>
        <f t="shared" si="17"/>
        <v>0</v>
      </c>
      <c r="U119" s="5"/>
      <c r="V119" s="5"/>
      <c r="W119" s="5"/>
    </row>
    <row r="120" spans="1:23" s="98" customFormat="1" ht="13.5" hidden="1">
      <c r="A120" s="77"/>
      <c r="B120" s="103"/>
      <c r="C120" s="103"/>
      <c r="D120" s="100"/>
      <c r="E120" s="2"/>
      <c r="F120" s="2"/>
      <c r="G120" s="11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>
        <f t="shared" si="17"/>
        <v>0</v>
      </c>
      <c r="U120" s="5"/>
      <c r="V120" s="5"/>
      <c r="W120" s="5"/>
    </row>
    <row r="121" spans="1:23" s="98" customFormat="1" ht="13.5" hidden="1">
      <c r="A121" s="77"/>
      <c r="B121" s="103"/>
      <c r="C121" s="103"/>
      <c r="D121" s="100"/>
      <c r="E121" s="2"/>
      <c r="F121" s="2"/>
      <c r="G121" s="11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>
        <f t="shared" si="17"/>
        <v>0</v>
      </c>
      <c r="U121" s="5"/>
      <c r="V121" s="5"/>
      <c r="W121" s="5"/>
    </row>
    <row r="122" spans="1:23" s="83" customFormat="1" ht="13.5" hidden="1">
      <c r="A122" s="77"/>
      <c r="B122" s="104"/>
      <c r="C122" s="104"/>
      <c r="D122" s="101"/>
      <c r="E122" s="17"/>
      <c r="F122" s="17"/>
      <c r="G122" s="139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>
        <f t="shared" si="17"/>
        <v>0</v>
      </c>
      <c r="U122" s="21"/>
      <c r="V122" s="21"/>
      <c r="W122" s="21"/>
    </row>
    <row r="123" spans="1:23" s="98" customFormat="1" ht="13.5" hidden="1">
      <c r="A123" s="77"/>
      <c r="B123" s="102"/>
      <c r="C123" s="102">
        <f>'GASTOS CONSOLIDADO'!B123</f>
        <v>390</v>
      </c>
      <c r="D123" s="43"/>
      <c r="E123" s="1"/>
      <c r="F123" s="1"/>
      <c r="G123" s="114" t="str">
        <f>'GASTOS CONSOLIDADO'!F123</f>
        <v>Otros Bienes de Consumo</v>
      </c>
      <c r="H123" s="3">
        <f>SUM(H124:H128)</f>
        <v>0</v>
      </c>
      <c r="I123" s="3">
        <f aca="true" t="shared" si="27" ref="I123:W123">SUM(I124:I128)</f>
        <v>0</v>
      </c>
      <c r="J123" s="3">
        <f t="shared" si="27"/>
        <v>0</v>
      </c>
      <c r="K123" s="3">
        <f t="shared" si="27"/>
        <v>0</v>
      </c>
      <c r="L123" s="3">
        <f t="shared" si="27"/>
        <v>0</v>
      </c>
      <c r="M123" s="3">
        <f t="shared" si="27"/>
        <v>0</v>
      </c>
      <c r="N123" s="3">
        <f t="shared" si="27"/>
        <v>0</v>
      </c>
      <c r="O123" s="3">
        <f>SUM(O124:O128)</f>
        <v>0</v>
      </c>
      <c r="P123" s="3">
        <f t="shared" si="27"/>
        <v>0</v>
      </c>
      <c r="Q123" s="3">
        <f t="shared" si="27"/>
        <v>0</v>
      </c>
      <c r="R123" s="3">
        <f t="shared" si="27"/>
        <v>0</v>
      </c>
      <c r="S123" s="3">
        <f t="shared" si="27"/>
        <v>0</v>
      </c>
      <c r="T123" s="3">
        <f t="shared" si="17"/>
        <v>0</v>
      </c>
      <c r="U123" s="3">
        <f t="shared" si="27"/>
        <v>0</v>
      </c>
      <c r="V123" s="3">
        <f t="shared" si="27"/>
        <v>0</v>
      </c>
      <c r="W123" s="3">
        <f t="shared" si="27"/>
        <v>0</v>
      </c>
    </row>
    <row r="124" spans="1:23" s="98" customFormat="1" ht="13.5" hidden="1">
      <c r="A124" s="77"/>
      <c r="B124" s="103"/>
      <c r="C124" s="103"/>
      <c r="D124" s="100"/>
      <c r="E124" s="2"/>
      <c r="F124" s="2"/>
      <c r="G124" s="11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>
        <f t="shared" si="17"/>
        <v>0</v>
      </c>
      <c r="U124" s="5"/>
      <c r="V124" s="5"/>
      <c r="W124" s="5"/>
    </row>
    <row r="125" spans="1:23" s="98" customFormat="1" ht="13.5" hidden="1">
      <c r="A125" s="77"/>
      <c r="B125" s="103"/>
      <c r="C125" s="103"/>
      <c r="D125" s="100"/>
      <c r="E125" s="2"/>
      <c r="F125" s="2"/>
      <c r="G125" s="11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>
        <f t="shared" si="17"/>
        <v>0</v>
      </c>
      <c r="U125" s="5"/>
      <c r="V125" s="5"/>
      <c r="W125" s="5"/>
    </row>
    <row r="126" spans="1:23" s="98" customFormat="1" ht="13.5" hidden="1">
      <c r="A126" s="77"/>
      <c r="B126" s="103"/>
      <c r="C126" s="103"/>
      <c r="D126" s="100"/>
      <c r="E126" s="2"/>
      <c r="F126" s="2"/>
      <c r="G126" s="11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>
        <f t="shared" si="17"/>
        <v>0</v>
      </c>
      <c r="U126" s="5"/>
      <c r="V126" s="5"/>
      <c r="W126" s="5"/>
    </row>
    <row r="127" spans="1:23" s="98" customFormat="1" ht="13.5" hidden="1">
      <c r="A127" s="77"/>
      <c r="B127" s="103"/>
      <c r="C127" s="103"/>
      <c r="D127" s="100"/>
      <c r="E127" s="2"/>
      <c r="F127" s="2"/>
      <c r="G127" s="11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>
        <f t="shared" si="17"/>
        <v>0</v>
      </c>
      <c r="U127" s="5"/>
      <c r="V127" s="5"/>
      <c r="W127" s="5"/>
    </row>
    <row r="128" spans="1:23" s="83" customFormat="1" ht="13.5" hidden="1">
      <c r="A128" s="77"/>
      <c r="B128" s="104"/>
      <c r="C128" s="104"/>
      <c r="D128" s="101"/>
      <c r="E128" s="17"/>
      <c r="F128" s="17"/>
      <c r="G128" s="139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>
        <f t="shared" si="17"/>
        <v>0</v>
      </c>
      <c r="U128" s="21"/>
      <c r="V128" s="21"/>
      <c r="W128" s="21"/>
    </row>
    <row r="129" spans="1:23" s="83" customFormat="1" ht="13.5" hidden="1">
      <c r="A129" s="77"/>
      <c r="B129" s="43">
        <f>'GASTOS CONSOLIDADO'!A129</f>
        <v>700</v>
      </c>
      <c r="C129" s="43"/>
      <c r="D129" s="43"/>
      <c r="E129" s="1"/>
      <c r="F129" s="1"/>
      <c r="G129" s="114" t="str">
        <f>'GASTOS CONSOLIDADO'!F129</f>
        <v>SERVICIO DE LA DEUDA PÚBLICA</v>
      </c>
      <c r="H129" s="3">
        <f>'GASTOS CONSOLIDADO'!G129</f>
        <v>0</v>
      </c>
      <c r="I129" s="3">
        <f>'GASTOS CONSOLIDADO'!H129</f>
        <v>0</v>
      </c>
      <c r="J129" s="3">
        <f>'GASTOS CONSOLIDADO'!I129</f>
        <v>0</v>
      </c>
      <c r="K129" s="3">
        <f>'GASTOS CONSOLIDADO'!J129</f>
        <v>0</v>
      </c>
      <c r="L129" s="3">
        <f>'GASTOS CONSOLIDADO'!K129</f>
        <v>0</v>
      </c>
      <c r="M129" s="3">
        <f>'GASTOS CONSOLIDADO'!L129</f>
        <v>0</v>
      </c>
      <c r="N129" s="3">
        <f>'GASTOS CONSOLIDADO'!M129</f>
        <v>0</v>
      </c>
      <c r="O129" s="3">
        <f>'GASTOS CONSOLIDADO'!L129</f>
        <v>0</v>
      </c>
      <c r="P129" s="3">
        <f>'GASTOS CONSOLIDADO'!O129</f>
        <v>0</v>
      </c>
      <c r="Q129" s="3">
        <f>'GASTOS CONSOLIDADO'!P129</f>
        <v>0</v>
      </c>
      <c r="R129" s="3">
        <f>'GASTOS CONSOLIDADO'!S129</f>
        <v>0</v>
      </c>
      <c r="S129" s="3">
        <f>'GASTOS CONSOLIDADO'!T129</f>
        <v>0</v>
      </c>
      <c r="T129" s="3">
        <f t="shared" si="17"/>
        <v>0</v>
      </c>
      <c r="U129" s="3">
        <f>'GASTOS CONSOLIDADO'!V129</f>
        <v>0</v>
      </c>
      <c r="V129" s="3">
        <f>'GASTOS CONSOLIDADO'!W129</f>
        <v>0</v>
      </c>
      <c r="W129" s="3">
        <f>'GASTOS CONSOLIDADO'!X129</f>
        <v>0</v>
      </c>
    </row>
    <row r="130" spans="1:23" s="83" customFormat="1" ht="13.5" hidden="1">
      <c r="A130" s="77"/>
      <c r="B130" s="102"/>
      <c r="C130" s="102">
        <f>'GASTOS CONSOLIDADO'!B130</f>
        <v>710</v>
      </c>
      <c r="D130" s="43"/>
      <c r="E130" s="1"/>
      <c r="F130" s="1"/>
      <c r="G130" s="114" t="str">
        <f>'GASTOS CONSOLIDADO'!F130</f>
        <v>Interes De la Deuda Pública Interna</v>
      </c>
      <c r="H130" s="3">
        <f>'GASTOS CONSOLIDADO'!G130</f>
        <v>0</v>
      </c>
      <c r="I130" s="3">
        <f>'GASTOS CONSOLIDADO'!H130</f>
        <v>0</v>
      </c>
      <c r="J130" s="3">
        <f>'GASTOS CONSOLIDADO'!I130</f>
        <v>0</v>
      </c>
      <c r="K130" s="3">
        <f>'GASTOS CONSOLIDADO'!J130</f>
        <v>0</v>
      </c>
      <c r="L130" s="3">
        <f>'GASTOS CONSOLIDADO'!K130</f>
        <v>0</v>
      </c>
      <c r="M130" s="3">
        <f>'GASTOS CONSOLIDADO'!L130</f>
        <v>0</v>
      </c>
      <c r="N130" s="3">
        <f>'GASTOS CONSOLIDADO'!M130</f>
        <v>0</v>
      </c>
      <c r="O130" s="3">
        <f>'GASTOS CONSOLIDADO'!L130</f>
        <v>0</v>
      </c>
      <c r="P130" s="3">
        <f>'GASTOS CONSOLIDADO'!O130</f>
        <v>0</v>
      </c>
      <c r="Q130" s="3">
        <f>'GASTOS CONSOLIDADO'!P130</f>
        <v>0</v>
      </c>
      <c r="R130" s="3">
        <f>'GASTOS CONSOLIDADO'!S130</f>
        <v>0</v>
      </c>
      <c r="S130" s="3">
        <f>'GASTOS CONSOLIDADO'!T130</f>
        <v>0</v>
      </c>
      <c r="T130" s="3">
        <f t="shared" si="17"/>
        <v>0</v>
      </c>
      <c r="U130" s="3">
        <f>'GASTOS CONSOLIDADO'!V130</f>
        <v>0</v>
      </c>
      <c r="V130" s="3">
        <f>'GASTOS CONSOLIDADO'!W130</f>
        <v>0</v>
      </c>
      <c r="W130" s="3">
        <f>'GASTOS CONSOLIDADO'!X130</f>
        <v>0</v>
      </c>
    </row>
    <row r="131" spans="1:23" s="83" customFormat="1" ht="13.5" hidden="1">
      <c r="A131" s="77"/>
      <c r="B131" s="102"/>
      <c r="C131" s="102"/>
      <c r="D131" s="43">
        <f>'GASTOS CONSOLIDADO'!C131</f>
        <v>713</v>
      </c>
      <c r="E131" s="1"/>
      <c r="F131" s="1"/>
      <c r="G131" s="29" t="str">
        <f>'GASTOS CONSOLIDADO'!F131</f>
        <v>Interes de la Deuda con el Sector Privado</v>
      </c>
      <c r="H131" s="107">
        <f>'GASTOS CONSOLIDADO'!G131</f>
        <v>0</v>
      </c>
      <c r="I131" s="107">
        <f>'GASTOS CONSOLIDADO'!H131</f>
        <v>0</v>
      </c>
      <c r="J131" s="107">
        <f>'GASTOS CONSOLIDADO'!I131</f>
        <v>0</v>
      </c>
      <c r="K131" s="107">
        <f>'GASTOS CONSOLIDADO'!J131</f>
        <v>0</v>
      </c>
      <c r="L131" s="107">
        <f>'GASTOS CONSOLIDADO'!K131</f>
        <v>0</v>
      </c>
      <c r="M131" s="107">
        <f>'GASTOS CONSOLIDADO'!L131</f>
        <v>0</v>
      </c>
      <c r="N131" s="107">
        <f>'GASTOS CONSOLIDADO'!M131</f>
        <v>0</v>
      </c>
      <c r="O131" s="107">
        <f>'GASTOS CONSOLIDADO'!L131</f>
        <v>0</v>
      </c>
      <c r="P131" s="107">
        <f>'GASTOS CONSOLIDADO'!O131</f>
        <v>0</v>
      </c>
      <c r="Q131" s="107">
        <f>'GASTOS CONSOLIDADO'!P131</f>
        <v>0</v>
      </c>
      <c r="R131" s="107">
        <f>'GASTOS CONSOLIDADO'!S131</f>
        <v>0</v>
      </c>
      <c r="S131" s="107">
        <f>'GASTOS CONSOLIDADO'!T131</f>
        <v>0</v>
      </c>
      <c r="T131" s="107">
        <f t="shared" si="17"/>
        <v>0</v>
      </c>
      <c r="U131" s="107">
        <f>'GASTOS CONSOLIDADO'!V131</f>
        <v>0</v>
      </c>
      <c r="V131" s="107">
        <f>'GASTOS CONSOLIDADO'!W131</f>
        <v>0</v>
      </c>
      <c r="W131" s="107">
        <f>'GASTOS CONSOLIDADO'!X131</f>
        <v>0</v>
      </c>
    </row>
    <row r="132" spans="1:23" s="83" customFormat="1" ht="13.5" hidden="1">
      <c r="A132" s="77"/>
      <c r="B132" s="108"/>
      <c r="C132" s="108"/>
      <c r="D132" s="109"/>
      <c r="E132" s="8"/>
      <c r="F132" s="8"/>
      <c r="G132" s="14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>
        <f t="shared" si="17"/>
        <v>0</v>
      </c>
      <c r="U132" s="111"/>
      <c r="V132" s="111"/>
      <c r="W132" s="111"/>
    </row>
    <row r="133" spans="1:23" s="83" customFormat="1" ht="13.5" hidden="1">
      <c r="A133" s="77"/>
      <c r="B133" s="104"/>
      <c r="C133" s="104"/>
      <c r="D133" s="101"/>
      <c r="E133" s="17"/>
      <c r="F133" s="17"/>
      <c r="G133" s="139"/>
      <c r="H133" s="21">
        <f>'GASTOS CONSOLIDADO'!G133</f>
        <v>0</v>
      </c>
      <c r="I133" s="21">
        <f>'GASTOS CONSOLIDADO'!H133</f>
        <v>0</v>
      </c>
      <c r="J133" s="21">
        <f>'GASTOS CONSOLIDADO'!I133</f>
        <v>0</v>
      </c>
      <c r="K133" s="21">
        <f>'GASTOS CONSOLIDADO'!J133</f>
        <v>0</v>
      </c>
      <c r="L133" s="21">
        <f>'GASTOS CONSOLIDADO'!K133</f>
        <v>0</v>
      </c>
      <c r="M133" s="21">
        <f>'GASTOS CONSOLIDADO'!L133</f>
        <v>0</v>
      </c>
      <c r="N133" s="21">
        <f>'GASTOS CONSOLIDADO'!M133</f>
        <v>0</v>
      </c>
      <c r="O133" s="21">
        <f>'GASTOS CONSOLIDADO'!L133</f>
        <v>0</v>
      </c>
      <c r="P133" s="21">
        <f>'GASTOS CONSOLIDADO'!O133</f>
        <v>0</v>
      </c>
      <c r="Q133" s="21">
        <f>'GASTOS CONSOLIDADO'!P133</f>
        <v>0</v>
      </c>
      <c r="R133" s="21">
        <f>'GASTOS CONSOLIDADO'!S133</f>
        <v>0</v>
      </c>
      <c r="S133" s="21">
        <f>'GASTOS CONSOLIDADO'!T133</f>
        <v>0</v>
      </c>
      <c r="T133" s="21">
        <f t="shared" si="17"/>
        <v>0</v>
      </c>
      <c r="U133" s="21">
        <f>'GASTOS CONSOLIDADO'!V133</f>
        <v>0</v>
      </c>
      <c r="V133" s="21">
        <f>'GASTOS CONSOLIDADO'!W133</f>
        <v>0</v>
      </c>
      <c r="W133" s="21">
        <f>'GASTOS CONSOLIDADO'!X133</f>
        <v>0</v>
      </c>
    </row>
    <row r="134" spans="1:23" s="98" customFormat="1" ht="13.5" hidden="1">
      <c r="A134" s="77"/>
      <c r="B134" s="43">
        <f>'GASTOS CONSOLIDADO'!A134</f>
        <v>800</v>
      </c>
      <c r="C134" s="43"/>
      <c r="D134" s="43"/>
      <c r="E134" s="1"/>
      <c r="F134" s="1"/>
      <c r="G134" s="114" t="str">
        <f>'GASTOS CONSOLIDADO'!F134</f>
        <v>TRANSFERENCIAS</v>
      </c>
      <c r="H134" s="3">
        <f>H135+H141+H152</f>
        <v>197075460</v>
      </c>
      <c r="I134" s="3">
        <f aca="true" t="shared" si="28" ref="I134:W134">I135+I141+I152</f>
        <v>209467966</v>
      </c>
      <c r="J134" s="3">
        <f t="shared" si="28"/>
        <v>406543426</v>
      </c>
      <c r="K134" s="3">
        <f t="shared" si="28"/>
        <v>0</v>
      </c>
      <c r="L134" s="3">
        <f t="shared" si="28"/>
        <v>0</v>
      </c>
      <c r="M134" s="3">
        <f t="shared" si="28"/>
        <v>0</v>
      </c>
      <c r="N134" s="3">
        <f t="shared" si="28"/>
        <v>0</v>
      </c>
      <c r="O134" s="3">
        <f>O135+O141+O152</f>
        <v>0</v>
      </c>
      <c r="P134" s="3">
        <f t="shared" si="28"/>
        <v>0</v>
      </c>
      <c r="Q134" s="3">
        <f t="shared" si="28"/>
        <v>0</v>
      </c>
      <c r="R134" s="3">
        <f t="shared" si="28"/>
        <v>0</v>
      </c>
      <c r="S134" s="3">
        <f t="shared" si="28"/>
        <v>0</v>
      </c>
      <c r="T134" s="3">
        <f t="shared" si="17"/>
        <v>0</v>
      </c>
      <c r="U134" s="3">
        <f t="shared" si="28"/>
        <v>406543426</v>
      </c>
      <c r="V134" s="3">
        <f t="shared" si="28"/>
        <v>0</v>
      </c>
      <c r="W134" s="3">
        <f t="shared" si="28"/>
        <v>0</v>
      </c>
    </row>
    <row r="135" spans="1:23" s="98" customFormat="1" ht="13.5" hidden="1">
      <c r="A135" s="77"/>
      <c r="B135" s="102"/>
      <c r="C135" s="102">
        <f>'GASTOS CONSOLIDADO'!B135</f>
        <v>810</v>
      </c>
      <c r="D135" s="43"/>
      <c r="E135" s="1"/>
      <c r="F135" s="1"/>
      <c r="G135" s="114" t="str">
        <f>'GASTOS CONSOLIDADO'!F135</f>
        <v>Transferencias Corrientes al Sector Público</v>
      </c>
      <c r="H135" s="3">
        <f aca="true" t="shared" si="29" ref="H135:W135">H136</f>
        <v>0</v>
      </c>
      <c r="I135" s="3">
        <f t="shared" si="29"/>
        <v>0</v>
      </c>
      <c r="J135" s="3">
        <f t="shared" si="29"/>
        <v>0</v>
      </c>
      <c r="K135" s="3">
        <f t="shared" si="29"/>
        <v>0</v>
      </c>
      <c r="L135" s="3">
        <f t="shared" si="29"/>
        <v>0</v>
      </c>
      <c r="M135" s="3">
        <f t="shared" si="29"/>
        <v>0</v>
      </c>
      <c r="N135" s="3">
        <f t="shared" si="29"/>
        <v>0</v>
      </c>
      <c r="O135" s="3">
        <f t="shared" si="29"/>
        <v>0</v>
      </c>
      <c r="P135" s="3">
        <f t="shared" si="29"/>
        <v>0</v>
      </c>
      <c r="Q135" s="3">
        <f t="shared" si="29"/>
        <v>0</v>
      </c>
      <c r="R135" s="3">
        <f t="shared" si="29"/>
        <v>0</v>
      </c>
      <c r="S135" s="3">
        <f t="shared" si="29"/>
        <v>0</v>
      </c>
      <c r="T135" s="3">
        <f t="shared" si="17"/>
        <v>0</v>
      </c>
      <c r="U135" s="3">
        <f t="shared" si="29"/>
        <v>0</v>
      </c>
      <c r="V135" s="3">
        <f t="shared" si="29"/>
        <v>0</v>
      </c>
      <c r="W135" s="3">
        <f t="shared" si="29"/>
        <v>0</v>
      </c>
    </row>
    <row r="136" spans="1:23" s="98" customFormat="1" ht="13.5" hidden="1">
      <c r="A136" s="77"/>
      <c r="B136" s="102"/>
      <c r="C136" s="102"/>
      <c r="D136" s="43">
        <f>'GASTOS CONSOLIDADO'!C136</f>
        <v>814</v>
      </c>
      <c r="E136" s="1"/>
      <c r="F136" s="1"/>
      <c r="G136" s="29" t="str">
        <f>'GASTOS CONSOLIDADO'!F136</f>
        <v>Transf. Consolidables por Coparticipación Juegos de Azar</v>
      </c>
      <c r="H136" s="107">
        <f>SUM(H137:H140)</f>
        <v>0</v>
      </c>
      <c r="I136" s="107">
        <f aca="true" t="shared" si="30" ref="I136:W136">SUM(I137:I140)</f>
        <v>0</v>
      </c>
      <c r="J136" s="107">
        <f t="shared" si="30"/>
        <v>0</v>
      </c>
      <c r="K136" s="107">
        <f t="shared" si="30"/>
        <v>0</v>
      </c>
      <c r="L136" s="107">
        <f t="shared" si="30"/>
        <v>0</v>
      </c>
      <c r="M136" s="107">
        <f t="shared" si="30"/>
        <v>0</v>
      </c>
      <c r="N136" s="107">
        <f t="shared" si="30"/>
        <v>0</v>
      </c>
      <c r="O136" s="107">
        <f>SUM(O137:O140)</f>
        <v>0</v>
      </c>
      <c r="P136" s="107">
        <f t="shared" si="30"/>
        <v>0</v>
      </c>
      <c r="Q136" s="107">
        <f t="shared" si="30"/>
        <v>0</v>
      </c>
      <c r="R136" s="107">
        <f t="shared" si="30"/>
        <v>0</v>
      </c>
      <c r="S136" s="107">
        <f t="shared" si="30"/>
        <v>0</v>
      </c>
      <c r="T136" s="107">
        <f t="shared" si="17"/>
        <v>0</v>
      </c>
      <c r="U136" s="107">
        <f t="shared" si="30"/>
        <v>0</v>
      </c>
      <c r="V136" s="107">
        <f t="shared" si="30"/>
        <v>0</v>
      </c>
      <c r="W136" s="107">
        <f t="shared" si="30"/>
        <v>0</v>
      </c>
    </row>
    <row r="137" spans="1:23" s="98" customFormat="1" ht="13.5" hidden="1">
      <c r="A137" s="77"/>
      <c r="B137" s="108"/>
      <c r="C137" s="108"/>
      <c r="D137" s="109"/>
      <c r="E137" s="8"/>
      <c r="F137" s="8"/>
      <c r="G137" s="14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>
        <f t="shared" si="17"/>
        <v>0</v>
      </c>
      <c r="U137" s="111"/>
      <c r="V137" s="111"/>
      <c r="W137" s="111"/>
    </row>
    <row r="138" spans="1:23" s="98" customFormat="1" ht="13.5" hidden="1">
      <c r="A138" s="77"/>
      <c r="B138" s="103"/>
      <c r="C138" s="103"/>
      <c r="D138" s="100"/>
      <c r="E138" s="2"/>
      <c r="F138" s="2"/>
      <c r="G138" s="10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>
        <f t="shared" si="17"/>
        <v>0</v>
      </c>
      <c r="U138" s="5"/>
      <c r="V138" s="5"/>
      <c r="W138" s="5"/>
    </row>
    <row r="139" spans="1:23" s="98" customFormat="1" ht="13.5" hidden="1">
      <c r="A139" s="77"/>
      <c r="B139" s="103"/>
      <c r="C139" s="103"/>
      <c r="D139" s="100"/>
      <c r="E139" s="2"/>
      <c r="F139" s="2"/>
      <c r="G139" s="10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>
        <f t="shared" si="17"/>
        <v>0</v>
      </c>
      <c r="U139" s="5"/>
      <c r="V139" s="5"/>
      <c r="W139" s="5"/>
    </row>
    <row r="140" spans="1:23" s="83" customFormat="1" ht="13.5" hidden="1">
      <c r="A140" s="77"/>
      <c r="B140" s="104"/>
      <c r="C140" s="104"/>
      <c r="D140" s="101"/>
      <c r="E140" s="17"/>
      <c r="F140" s="17"/>
      <c r="G140" s="139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>
        <f t="shared" si="17"/>
        <v>0</v>
      </c>
      <c r="U140" s="21"/>
      <c r="V140" s="21"/>
      <c r="W140" s="21"/>
    </row>
    <row r="141" spans="1:23" s="98" customFormat="1" ht="13.5" hidden="1">
      <c r="A141" s="77"/>
      <c r="B141" s="43"/>
      <c r="C141" s="43">
        <f>'GASTOS CONSOLIDADO'!B141</f>
        <v>830</v>
      </c>
      <c r="D141" s="43"/>
      <c r="E141" s="1"/>
      <c r="F141" s="1"/>
      <c r="G141" s="113" t="str">
        <f>'GASTOS CONSOLIDADO'!F141</f>
        <v>Otras transferencias Corrientes al sector público o privado</v>
      </c>
      <c r="H141" s="3">
        <f>H142+H145+H148</f>
        <v>0</v>
      </c>
      <c r="I141" s="3">
        <f aca="true" t="shared" si="31" ref="I141:W141">I142+I145+I148</f>
        <v>0</v>
      </c>
      <c r="J141" s="3">
        <f t="shared" si="31"/>
        <v>0</v>
      </c>
      <c r="K141" s="3">
        <f t="shared" si="31"/>
        <v>0</v>
      </c>
      <c r="L141" s="3">
        <f t="shared" si="31"/>
        <v>0</v>
      </c>
      <c r="M141" s="3">
        <f t="shared" si="31"/>
        <v>0</v>
      </c>
      <c r="N141" s="3">
        <f t="shared" si="31"/>
        <v>0</v>
      </c>
      <c r="O141" s="3">
        <f>O142+O145+O148</f>
        <v>0</v>
      </c>
      <c r="P141" s="3">
        <f t="shared" si="31"/>
        <v>0</v>
      </c>
      <c r="Q141" s="3">
        <f t="shared" si="31"/>
        <v>0</v>
      </c>
      <c r="R141" s="3">
        <f t="shared" si="31"/>
        <v>0</v>
      </c>
      <c r="S141" s="3">
        <f t="shared" si="31"/>
        <v>0</v>
      </c>
      <c r="T141" s="3">
        <f t="shared" si="17"/>
        <v>0</v>
      </c>
      <c r="U141" s="3">
        <f t="shared" si="31"/>
        <v>0</v>
      </c>
      <c r="V141" s="3">
        <f t="shared" si="31"/>
        <v>0</v>
      </c>
      <c r="W141" s="3">
        <f t="shared" si="31"/>
        <v>0</v>
      </c>
    </row>
    <row r="142" spans="1:23" s="98" customFormat="1" ht="20.25" hidden="1">
      <c r="A142" s="77"/>
      <c r="B142" s="103"/>
      <c r="C142" s="103"/>
      <c r="D142" s="43">
        <f>'GASTOS CONSOLIDADO'!C142</f>
        <v>831</v>
      </c>
      <c r="E142" s="2"/>
      <c r="F142" s="2"/>
      <c r="G142" s="114" t="str">
        <f>'GASTOS CONSOLIDADO'!F142</f>
        <v>Otras Transf. a Ent. con fines Soc. o de Emergencia Nacional</v>
      </c>
      <c r="H142" s="107">
        <f>SUM(H143:H144)</f>
        <v>0</v>
      </c>
      <c r="I142" s="107">
        <f aca="true" t="shared" si="32" ref="I142:W142">SUM(I143:I144)</f>
        <v>0</v>
      </c>
      <c r="J142" s="107">
        <f t="shared" si="32"/>
        <v>0</v>
      </c>
      <c r="K142" s="107">
        <f t="shared" si="32"/>
        <v>0</v>
      </c>
      <c r="L142" s="107">
        <f t="shared" si="32"/>
        <v>0</v>
      </c>
      <c r="M142" s="107">
        <f t="shared" si="32"/>
        <v>0</v>
      </c>
      <c r="N142" s="107">
        <f t="shared" si="32"/>
        <v>0</v>
      </c>
      <c r="O142" s="107">
        <f>SUM(O143:O144)</f>
        <v>0</v>
      </c>
      <c r="P142" s="107">
        <f t="shared" si="32"/>
        <v>0</v>
      </c>
      <c r="Q142" s="107">
        <f t="shared" si="32"/>
        <v>0</v>
      </c>
      <c r="R142" s="107">
        <f t="shared" si="32"/>
        <v>0</v>
      </c>
      <c r="S142" s="107">
        <f t="shared" si="32"/>
        <v>0</v>
      </c>
      <c r="T142" s="107">
        <f t="shared" si="17"/>
        <v>0</v>
      </c>
      <c r="U142" s="107">
        <f t="shared" si="32"/>
        <v>0</v>
      </c>
      <c r="V142" s="107">
        <f t="shared" si="32"/>
        <v>0</v>
      </c>
      <c r="W142" s="107">
        <f t="shared" si="32"/>
        <v>0</v>
      </c>
    </row>
    <row r="143" spans="1:23" s="98" customFormat="1" ht="13.5" hidden="1">
      <c r="A143" s="77"/>
      <c r="B143" s="103"/>
      <c r="C143" s="103"/>
      <c r="D143" s="100"/>
      <c r="E143" s="2"/>
      <c r="F143" s="2"/>
      <c r="G143" s="11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>
        <f aca="true" t="shared" si="33" ref="T143:T206">+O143+P143+Q143+R143+S143</f>
        <v>0</v>
      </c>
      <c r="U143" s="5"/>
      <c r="V143" s="5"/>
      <c r="W143" s="5"/>
    </row>
    <row r="144" spans="1:23" s="83" customFormat="1" ht="13.5" hidden="1">
      <c r="A144" s="77"/>
      <c r="B144" s="104"/>
      <c r="C144" s="104"/>
      <c r="D144" s="101"/>
      <c r="E144" s="17"/>
      <c r="F144" s="17"/>
      <c r="G144" s="139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>
        <f t="shared" si="33"/>
        <v>0</v>
      </c>
      <c r="U144" s="21"/>
      <c r="V144" s="21"/>
      <c r="W144" s="21"/>
    </row>
    <row r="145" spans="1:23" s="98" customFormat="1" ht="13.5" hidden="1">
      <c r="A145" s="77"/>
      <c r="B145" s="103"/>
      <c r="C145" s="103"/>
      <c r="D145" s="43">
        <f>'GASTOS CONSOLIDADO'!C145</f>
        <v>833</v>
      </c>
      <c r="E145" s="2"/>
      <c r="F145" s="2"/>
      <c r="G145" s="114" t="str">
        <f>'GASTOS CONSOLIDADO'!F145</f>
        <v>Transferencias a Municipalidades</v>
      </c>
      <c r="H145" s="3">
        <f aca="true" t="shared" si="34" ref="H145:W145">H146</f>
        <v>0</v>
      </c>
      <c r="I145" s="3">
        <f t="shared" si="34"/>
        <v>0</v>
      </c>
      <c r="J145" s="3">
        <f t="shared" si="34"/>
        <v>0</v>
      </c>
      <c r="K145" s="3">
        <f t="shared" si="34"/>
        <v>0</v>
      </c>
      <c r="L145" s="3">
        <f t="shared" si="34"/>
        <v>0</v>
      </c>
      <c r="M145" s="3">
        <f t="shared" si="34"/>
        <v>0</v>
      </c>
      <c r="N145" s="3">
        <f t="shared" si="34"/>
        <v>0</v>
      </c>
      <c r="O145" s="3">
        <f t="shared" si="34"/>
        <v>0</v>
      </c>
      <c r="P145" s="3">
        <f t="shared" si="34"/>
        <v>0</v>
      </c>
      <c r="Q145" s="3">
        <f t="shared" si="34"/>
        <v>0</v>
      </c>
      <c r="R145" s="3">
        <f t="shared" si="34"/>
        <v>0</v>
      </c>
      <c r="S145" s="3">
        <f t="shared" si="34"/>
        <v>0</v>
      </c>
      <c r="T145" s="3">
        <f t="shared" si="33"/>
        <v>0</v>
      </c>
      <c r="U145" s="3">
        <f t="shared" si="34"/>
        <v>0</v>
      </c>
      <c r="V145" s="3">
        <f t="shared" si="34"/>
        <v>0</v>
      </c>
      <c r="W145" s="3">
        <f t="shared" si="34"/>
        <v>0</v>
      </c>
    </row>
    <row r="146" spans="1:23" s="98" customFormat="1" ht="13.5" hidden="1">
      <c r="A146" s="77"/>
      <c r="B146" s="103"/>
      <c r="C146" s="103"/>
      <c r="D146" s="100"/>
      <c r="E146" s="2"/>
      <c r="F146" s="2"/>
      <c r="G146" s="11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>
        <f t="shared" si="33"/>
        <v>0</v>
      </c>
      <c r="U146" s="5"/>
      <c r="V146" s="5"/>
      <c r="W146" s="5"/>
    </row>
    <row r="147" spans="1:23" s="83" customFormat="1" ht="13.5" hidden="1">
      <c r="A147" s="77"/>
      <c r="B147" s="104"/>
      <c r="C147" s="104"/>
      <c r="D147" s="101"/>
      <c r="E147" s="17"/>
      <c r="F147" s="17"/>
      <c r="G147" s="139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>
        <f t="shared" si="33"/>
        <v>0</v>
      </c>
      <c r="U147" s="21"/>
      <c r="V147" s="21"/>
      <c r="W147" s="21"/>
    </row>
    <row r="148" spans="1:23" s="98" customFormat="1" ht="13.5" hidden="1">
      <c r="A148" s="77"/>
      <c r="B148" s="103"/>
      <c r="C148" s="103"/>
      <c r="D148" s="43">
        <f>'GASTOS CONSOLIDADO'!C148</f>
        <v>834</v>
      </c>
      <c r="E148" s="2"/>
      <c r="F148" s="2"/>
      <c r="G148" s="114" t="str">
        <f>'GASTOS CONSOLIDADO'!F148</f>
        <v>Otras Transf.al Sector Público</v>
      </c>
      <c r="H148" s="107">
        <f>SUM(H149:H150)</f>
        <v>0</v>
      </c>
      <c r="I148" s="107">
        <f aca="true" t="shared" si="35" ref="I148:W148">SUM(I149:I150)</f>
        <v>0</v>
      </c>
      <c r="J148" s="107">
        <f t="shared" si="35"/>
        <v>0</v>
      </c>
      <c r="K148" s="107">
        <f t="shared" si="35"/>
        <v>0</v>
      </c>
      <c r="L148" s="107">
        <f t="shared" si="35"/>
        <v>0</v>
      </c>
      <c r="M148" s="107">
        <f t="shared" si="35"/>
        <v>0</v>
      </c>
      <c r="N148" s="107">
        <f t="shared" si="35"/>
        <v>0</v>
      </c>
      <c r="O148" s="107">
        <f>SUM(O149:O150)</f>
        <v>0</v>
      </c>
      <c r="P148" s="107">
        <f t="shared" si="35"/>
        <v>0</v>
      </c>
      <c r="Q148" s="107">
        <f t="shared" si="35"/>
        <v>0</v>
      </c>
      <c r="R148" s="107">
        <f t="shared" si="35"/>
        <v>0</v>
      </c>
      <c r="S148" s="107">
        <f t="shared" si="35"/>
        <v>0</v>
      </c>
      <c r="T148" s="107">
        <f t="shared" si="33"/>
        <v>0</v>
      </c>
      <c r="U148" s="107">
        <f t="shared" si="35"/>
        <v>0</v>
      </c>
      <c r="V148" s="107">
        <f t="shared" si="35"/>
        <v>0</v>
      </c>
      <c r="W148" s="107">
        <f t="shared" si="35"/>
        <v>0</v>
      </c>
    </row>
    <row r="149" spans="1:23" s="98" customFormat="1" ht="13.5" hidden="1">
      <c r="A149" s="77"/>
      <c r="B149" s="103"/>
      <c r="C149" s="103"/>
      <c r="D149" s="100"/>
      <c r="E149" s="2"/>
      <c r="F149" s="2"/>
      <c r="G149" s="11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>
        <f t="shared" si="33"/>
        <v>0</v>
      </c>
      <c r="U149" s="5"/>
      <c r="V149" s="5"/>
      <c r="W149" s="5"/>
    </row>
    <row r="150" spans="1:23" s="98" customFormat="1" ht="13.5" hidden="1">
      <c r="A150" s="77"/>
      <c r="B150" s="103"/>
      <c r="C150" s="103"/>
      <c r="D150" s="100"/>
      <c r="E150" s="2"/>
      <c r="F150" s="2"/>
      <c r="G150" s="11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>
        <f t="shared" si="33"/>
        <v>0</v>
      </c>
      <c r="U150" s="5"/>
      <c r="V150" s="5"/>
      <c r="W150" s="5"/>
    </row>
    <row r="151" spans="1:23" s="83" customFormat="1" ht="13.5" hidden="1">
      <c r="A151" s="77"/>
      <c r="B151" s="104"/>
      <c r="C151" s="104"/>
      <c r="D151" s="101"/>
      <c r="E151" s="17"/>
      <c r="F151" s="17"/>
      <c r="G151" s="139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>
        <f t="shared" si="33"/>
        <v>0</v>
      </c>
      <c r="U151" s="21"/>
      <c r="V151" s="21"/>
      <c r="W151" s="21"/>
    </row>
    <row r="152" spans="1:23" s="98" customFormat="1" ht="13.5">
      <c r="A152" s="77"/>
      <c r="B152" s="102"/>
      <c r="C152" s="102">
        <f>'GASTOS CONSOLIDADO'!B153</f>
        <v>840</v>
      </c>
      <c r="D152" s="43"/>
      <c r="E152" s="1"/>
      <c r="F152" s="1"/>
      <c r="G152" s="113" t="str">
        <f>'GASTOS CONSOLIDADO'!F153</f>
        <v>Transferencias Corrientes  al  sector Privado, Varias</v>
      </c>
      <c r="H152" s="107">
        <f>+H177</f>
        <v>197075460</v>
      </c>
      <c r="I152" s="107">
        <f aca="true" t="shared" si="36" ref="I152:W152">+I177</f>
        <v>209467966</v>
      </c>
      <c r="J152" s="107">
        <f t="shared" si="36"/>
        <v>406543426</v>
      </c>
      <c r="K152" s="107">
        <f t="shared" si="36"/>
        <v>0</v>
      </c>
      <c r="L152" s="107">
        <f t="shared" si="36"/>
        <v>0</v>
      </c>
      <c r="M152" s="107">
        <f t="shared" si="36"/>
        <v>0</v>
      </c>
      <c r="N152" s="107">
        <f t="shared" si="36"/>
        <v>0</v>
      </c>
      <c r="O152" s="107">
        <f>+O177</f>
        <v>0</v>
      </c>
      <c r="P152" s="107">
        <f t="shared" si="36"/>
        <v>0</v>
      </c>
      <c r="Q152" s="107">
        <f t="shared" si="36"/>
        <v>0</v>
      </c>
      <c r="R152" s="107">
        <f t="shared" si="36"/>
        <v>0</v>
      </c>
      <c r="S152" s="107">
        <f t="shared" si="36"/>
        <v>0</v>
      </c>
      <c r="T152" s="107">
        <f t="shared" si="33"/>
        <v>0</v>
      </c>
      <c r="U152" s="107">
        <f t="shared" si="36"/>
        <v>406543426</v>
      </c>
      <c r="V152" s="107">
        <f t="shared" si="36"/>
        <v>0</v>
      </c>
      <c r="W152" s="107">
        <f t="shared" si="36"/>
        <v>0</v>
      </c>
    </row>
    <row r="153" spans="1:23" s="98" customFormat="1" ht="13.5" hidden="1">
      <c r="A153" s="77"/>
      <c r="B153" s="43"/>
      <c r="C153" s="43"/>
      <c r="D153" s="43">
        <f>'GASTOS CONSOLIDADO'!C154</f>
        <v>841</v>
      </c>
      <c r="E153" s="1"/>
      <c r="F153" s="1"/>
      <c r="G153" s="114" t="str">
        <f>'GASTOS CONSOLIDADO'!F154</f>
        <v>Becas</v>
      </c>
      <c r="H153" s="107">
        <f>SUM(H154:H155)</f>
        <v>0</v>
      </c>
      <c r="I153" s="107">
        <f aca="true" t="shared" si="37" ref="I153:W153">SUM(I154:I155)</f>
        <v>0</v>
      </c>
      <c r="J153" s="107">
        <f t="shared" si="37"/>
        <v>0</v>
      </c>
      <c r="K153" s="107">
        <f t="shared" si="37"/>
        <v>0</v>
      </c>
      <c r="L153" s="107">
        <f t="shared" si="37"/>
        <v>0</v>
      </c>
      <c r="M153" s="107">
        <f t="shared" si="37"/>
        <v>0</v>
      </c>
      <c r="N153" s="107">
        <f t="shared" si="37"/>
        <v>0</v>
      </c>
      <c r="O153" s="107">
        <f>SUM(O154:O155)</f>
        <v>0</v>
      </c>
      <c r="P153" s="107">
        <f t="shared" si="37"/>
        <v>0</v>
      </c>
      <c r="Q153" s="107">
        <f t="shared" si="37"/>
        <v>0</v>
      </c>
      <c r="R153" s="107">
        <f t="shared" si="37"/>
        <v>0</v>
      </c>
      <c r="S153" s="107">
        <f t="shared" si="37"/>
        <v>0</v>
      </c>
      <c r="T153" s="107">
        <f t="shared" si="33"/>
        <v>0</v>
      </c>
      <c r="U153" s="107">
        <f t="shared" si="37"/>
        <v>0</v>
      </c>
      <c r="V153" s="107">
        <f t="shared" si="37"/>
        <v>0</v>
      </c>
      <c r="W153" s="107">
        <f t="shared" si="37"/>
        <v>0</v>
      </c>
    </row>
    <row r="154" spans="1:23" s="98" customFormat="1" ht="13.5" hidden="1">
      <c r="A154" s="77"/>
      <c r="B154" s="103"/>
      <c r="C154" s="103"/>
      <c r="D154" s="100"/>
      <c r="E154" s="2"/>
      <c r="F154" s="2"/>
      <c r="G154" s="11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>
        <f t="shared" si="33"/>
        <v>0</v>
      </c>
      <c r="U154" s="5"/>
      <c r="V154" s="5"/>
      <c r="W154" s="5"/>
    </row>
    <row r="155" spans="1:23" s="98" customFormat="1" ht="13.5" hidden="1">
      <c r="A155" s="77"/>
      <c r="B155" s="103"/>
      <c r="C155" s="103"/>
      <c r="D155" s="100"/>
      <c r="E155" s="2"/>
      <c r="F155" s="2"/>
      <c r="G155" s="11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>
        <f t="shared" si="33"/>
        <v>0</v>
      </c>
      <c r="U155" s="5"/>
      <c r="V155" s="5"/>
      <c r="W155" s="5"/>
    </row>
    <row r="156" spans="1:23" s="83" customFormat="1" ht="13.5" hidden="1">
      <c r="A156" s="77"/>
      <c r="B156" s="104"/>
      <c r="C156" s="104"/>
      <c r="D156" s="101"/>
      <c r="E156" s="17"/>
      <c r="F156" s="17"/>
      <c r="G156" s="139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>
        <f t="shared" si="33"/>
        <v>0</v>
      </c>
      <c r="U156" s="21"/>
      <c r="V156" s="21"/>
      <c r="W156" s="21"/>
    </row>
    <row r="157" spans="1:23" s="98" customFormat="1" ht="13.5" hidden="1">
      <c r="A157" s="77"/>
      <c r="B157" s="43"/>
      <c r="C157" s="43"/>
      <c r="D157" s="43">
        <f>'GASTOS CONSOLIDADO'!C158</f>
        <v>842</v>
      </c>
      <c r="E157" s="1"/>
      <c r="F157" s="1"/>
      <c r="G157" s="114" t="str">
        <f>'GASTOS CONSOLIDADO'!F158</f>
        <v>Aportes a Entidades Educ. e Instituciones s/ fines de lucro</v>
      </c>
      <c r="H157" s="107">
        <f>SUM(H158:H170)</f>
        <v>0</v>
      </c>
      <c r="I157" s="107">
        <f aca="true" t="shared" si="38" ref="I157:W157">SUM(I158:I170)</f>
        <v>0</v>
      </c>
      <c r="J157" s="107">
        <f t="shared" si="38"/>
        <v>0</v>
      </c>
      <c r="K157" s="107">
        <f t="shared" si="38"/>
        <v>0</v>
      </c>
      <c r="L157" s="107">
        <f t="shared" si="38"/>
        <v>0</v>
      </c>
      <c r="M157" s="107">
        <f t="shared" si="38"/>
        <v>0</v>
      </c>
      <c r="N157" s="107">
        <f t="shared" si="38"/>
        <v>0</v>
      </c>
      <c r="O157" s="107">
        <f>SUM(O158:O170)</f>
        <v>0</v>
      </c>
      <c r="P157" s="107">
        <f t="shared" si="38"/>
        <v>0</v>
      </c>
      <c r="Q157" s="107">
        <f t="shared" si="38"/>
        <v>0</v>
      </c>
      <c r="R157" s="107">
        <f t="shared" si="38"/>
        <v>0</v>
      </c>
      <c r="S157" s="107">
        <f t="shared" si="38"/>
        <v>0</v>
      </c>
      <c r="T157" s="107">
        <f t="shared" si="33"/>
        <v>0</v>
      </c>
      <c r="U157" s="107">
        <f t="shared" si="38"/>
        <v>0</v>
      </c>
      <c r="V157" s="107">
        <f t="shared" si="38"/>
        <v>0</v>
      </c>
      <c r="W157" s="107">
        <f t="shared" si="38"/>
        <v>0</v>
      </c>
    </row>
    <row r="158" spans="1:23" s="98" customFormat="1" ht="13.5" hidden="1">
      <c r="A158" s="77"/>
      <c r="B158" s="103"/>
      <c r="C158" s="103"/>
      <c r="D158" s="100"/>
      <c r="E158" s="2"/>
      <c r="F158" s="2"/>
      <c r="G158" s="11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>
        <f t="shared" si="33"/>
        <v>0</v>
      </c>
      <c r="U158" s="5"/>
      <c r="V158" s="5"/>
      <c r="W158" s="5"/>
    </row>
    <row r="159" spans="1:23" s="98" customFormat="1" ht="13.5" hidden="1">
      <c r="A159" s="77"/>
      <c r="B159" s="103"/>
      <c r="C159" s="103"/>
      <c r="D159" s="100"/>
      <c r="E159" s="2"/>
      <c r="F159" s="2"/>
      <c r="G159" s="11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>
        <f t="shared" si="33"/>
        <v>0</v>
      </c>
      <c r="U159" s="5"/>
      <c r="V159" s="5"/>
      <c r="W159" s="5"/>
    </row>
    <row r="160" spans="1:23" s="98" customFormat="1" ht="13.5" hidden="1">
      <c r="A160" s="77"/>
      <c r="B160" s="103"/>
      <c r="C160" s="103"/>
      <c r="D160" s="100"/>
      <c r="E160" s="2"/>
      <c r="F160" s="2"/>
      <c r="G160" s="11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>
        <f t="shared" si="33"/>
        <v>0</v>
      </c>
      <c r="U160" s="5"/>
      <c r="V160" s="5"/>
      <c r="W160" s="5"/>
    </row>
    <row r="161" spans="1:23" s="98" customFormat="1" ht="13.5" hidden="1">
      <c r="A161" s="77"/>
      <c r="B161" s="103"/>
      <c r="C161" s="103"/>
      <c r="D161" s="100"/>
      <c r="E161" s="2"/>
      <c r="F161" s="2"/>
      <c r="G161" s="11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>
        <f t="shared" si="33"/>
        <v>0</v>
      </c>
      <c r="U161" s="5"/>
      <c r="V161" s="5"/>
      <c r="W161" s="5"/>
    </row>
    <row r="162" spans="1:23" s="98" customFormat="1" ht="13.5" hidden="1">
      <c r="A162" s="77"/>
      <c r="B162" s="103"/>
      <c r="C162" s="103"/>
      <c r="D162" s="100"/>
      <c r="E162" s="2"/>
      <c r="F162" s="2"/>
      <c r="G162" s="11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>
        <f t="shared" si="33"/>
        <v>0</v>
      </c>
      <c r="U162" s="5"/>
      <c r="V162" s="5"/>
      <c r="W162" s="5"/>
    </row>
    <row r="163" spans="1:23" s="98" customFormat="1" ht="13.5" hidden="1">
      <c r="A163" s="77"/>
      <c r="B163" s="103"/>
      <c r="C163" s="103"/>
      <c r="D163" s="100"/>
      <c r="E163" s="2"/>
      <c r="F163" s="2"/>
      <c r="G163" s="11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>
        <f t="shared" si="33"/>
        <v>0</v>
      </c>
      <c r="U163" s="5"/>
      <c r="V163" s="5"/>
      <c r="W163" s="5"/>
    </row>
    <row r="164" spans="1:23" s="98" customFormat="1" ht="13.5" hidden="1">
      <c r="A164" s="77"/>
      <c r="B164" s="103"/>
      <c r="C164" s="103"/>
      <c r="D164" s="100"/>
      <c r="E164" s="2"/>
      <c r="F164" s="2"/>
      <c r="G164" s="11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>
        <f t="shared" si="33"/>
        <v>0</v>
      </c>
      <c r="U164" s="5"/>
      <c r="V164" s="5"/>
      <c r="W164" s="5"/>
    </row>
    <row r="165" spans="1:23" s="98" customFormat="1" ht="13.5" hidden="1">
      <c r="A165" s="77"/>
      <c r="B165" s="103"/>
      <c r="C165" s="103"/>
      <c r="D165" s="100"/>
      <c r="E165" s="2"/>
      <c r="F165" s="2"/>
      <c r="G165" s="11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>
        <f t="shared" si="33"/>
        <v>0</v>
      </c>
      <c r="U165" s="5"/>
      <c r="V165" s="5"/>
      <c r="W165" s="5"/>
    </row>
    <row r="166" spans="1:23" s="98" customFormat="1" ht="13.5" hidden="1">
      <c r="A166" s="77"/>
      <c r="B166" s="103"/>
      <c r="C166" s="103"/>
      <c r="D166" s="100"/>
      <c r="E166" s="2"/>
      <c r="F166" s="2"/>
      <c r="G166" s="11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>
        <f t="shared" si="33"/>
        <v>0</v>
      </c>
      <c r="U166" s="5"/>
      <c r="V166" s="5"/>
      <c r="W166" s="5"/>
    </row>
    <row r="167" spans="1:23" s="98" customFormat="1" ht="13.5" hidden="1">
      <c r="A167" s="77"/>
      <c r="B167" s="103"/>
      <c r="C167" s="103"/>
      <c r="D167" s="100"/>
      <c r="E167" s="2"/>
      <c r="F167" s="2"/>
      <c r="G167" s="11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>
        <f t="shared" si="33"/>
        <v>0</v>
      </c>
      <c r="U167" s="5"/>
      <c r="V167" s="5"/>
      <c r="W167" s="5"/>
    </row>
    <row r="168" spans="1:23" s="98" customFormat="1" ht="13.5" hidden="1">
      <c r="A168" s="77"/>
      <c r="B168" s="103"/>
      <c r="C168" s="103"/>
      <c r="D168" s="100"/>
      <c r="E168" s="2"/>
      <c r="F168" s="2"/>
      <c r="G168" s="11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>
        <f t="shared" si="33"/>
        <v>0</v>
      </c>
      <c r="U168" s="5"/>
      <c r="V168" s="5"/>
      <c r="W168" s="5"/>
    </row>
    <row r="169" spans="1:23" s="98" customFormat="1" ht="13.5" hidden="1">
      <c r="A169" s="77"/>
      <c r="B169" s="103"/>
      <c r="C169" s="103"/>
      <c r="D169" s="100"/>
      <c r="E169" s="2"/>
      <c r="F169" s="2"/>
      <c r="G169" s="11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>
        <f t="shared" si="33"/>
        <v>0</v>
      </c>
      <c r="U169" s="5"/>
      <c r="V169" s="5"/>
      <c r="W169" s="5"/>
    </row>
    <row r="170" spans="1:23" s="98" customFormat="1" ht="13.5" hidden="1">
      <c r="A170" s="77"/>
      <c r="B170" s="103"/>
      <c r="C170" s="103"/>
      <c r="D170" s="100"/>
      <c r="E170" s="2"/>
      <c r="F170" s="2"/>
      <c r="G170" s="11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>
        <f t="shared" si="33"/>
        <v>0</v>
      </c>
      <c r="U170" s="5"/>
      <c r="V170" s="5"/>
      <c r="W170" s="5"/>
    </row>
    <row r="171" spans="1:23" s="83" customFormat="1" ht="13.5" hidden="1">
      <c r="A171" s="77"/>
      <c r="B171" s="104"/>
      <c r="C171" s="104"/>
      <c r="D171" s="101"/>
      <c r="E171" s="17"/>
      <c r="F171" s="17"/>
      <c r="G171" s="139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>
        <f t="shared" si="33"/>
        <v>0</v>
      </c>
      <c r="U171" s="21"/>
      <c r="V171" s="21"/>
      <c r="W171" s="21"/>
    </row>
    <row r="172" spans="1:23" s="98" customFormat="1" ht="20.25" hidden="1">
      <c r="A172" s="77"/>
      <c r="B172" s="43"/>
      <c r="C172" s="43"/>
      <c r="D172" s="43">
        <f>'GASTOS CONSOLIDADO'!C173</f>
        <v>846</v>
      </c>
      <c r="E172" s="1"/>
      <c r="F172" s="1"/>
      <c r="G172" s="114" t="str">
        <f>'GASTOS CONSOLIDADO'!F173</f>
        <v>Subsidio y Asistencia Social a Personas y Familias del Sector Privado</v>
      </c>
      <c r="H172" s="107">
        <f>SUM(H173:H175)</f>
        <v>0</v>
      </c>
      <c r="I172" s="107">
        <f aca="true" t="shared" si="39" ref="I172:W172">SUM(I173:I175)</f>
        <v>0</v>
      </c>
      <c r="J172" s="107">
        <f t="shared" si="39"/>
        <v>0</v>
      </c>
      <c r="K172" s="107">
        <f t="shared" si="39"/>
        <v>0</v>
      </c>
      <c r="L172" s="107">
        <f t="shared" si="39"/>
        <v>0</v>
      </c>
      <c r="M172" s="107">
        <f t="shared" si="39"/>
        <v>0</v>
      </c>
      <c r="N172" s="107">
        <f t="shared" si="39"/>
        <v>0</v>
      </c>
      <c r="O172" s="107">
        <f>SUM(O173:O175)</f>
        <v>0</v>
      </c>
      <c r="P172" s="107">
        <f t="shared" si="39"/>
        <v>0</v>
      </c>
      <c r="Q172" s="107">
        <f t="shared" si="39"/>
        <v>0</v>
      </c>
      <c r="R172" s="107">
        <f t="shared" si="39"/>
        <v>0</v>
      </c>
      <c r="S172" s="107">
        <f t="shared" si="39"/>
        <v>0</v>
      </c>
      <c r="T172" s="107">
        <f t="shared" si="33"/>
        <v>0</v>
      </c>
      <c r="U172" s="107">
        <f t="shared" si="39"/>
        <v>0</v>
      </c>
      <c r="V172" s="107">
        <f t="shared" si="39"/>
        <v>0</v>
      </c>
      <c r="W172" s="107">
        <f t="shared" si="39"/>
        <v>0</v>
      </c>
    </row>
    <row r="173" spans="1:23" s="98" customFormat="1" ht="13.5" hidden="1">
      <c r="A173" s="77"/>
      <c r="B173" s="103"/>
      <c r="C173" s="103"/>
      <c r="D173" s="100"/>
      <c r="E173" s="2"/>
      <c r="F173" s="2"/>
      <c r="G173" s="11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>
        <f t="shared" si="33"/>
        <v>0</v>
      </c>
      <c r="U173" s="5"/>
      <c r="V173" s="5"/>
      <c r="W173" s="5"/>
    </row>
    <row r="174" spans="1:23" s="98" customFormat="1" ht="13.5" hidden="1">
      <c r="A174" s="77"/>
      <c r="B174" s="103"/>
      <c r="C174" s="103"/>
      <c r="D174" s="100"/>
      <c r="E174" s="2"/>
      <c r="F174" s="2"/>
      <c r="G174" s="11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>
        <f t="shared" si="33"/>
        <v>0</v>
      </c>
      <c r="U174" s="5"/>
      <c r="V174" s="5"/>
      <c r="W174" s="5"/>
    </row>
    <row r="175" spans="1:23" s="98" customFormat="1" ht="13.5" hidden="1">
      <c r="A175" s="77"/>
      <c r="B175" s="103"/>
      <c r="C175" s="103"/>
      <c r="D175" s="100"/>
      <c r="E175" s="2"/>
      <c r="F175" s="2"/>
      <c r="G175" s="11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>
        <f t="shared" si="33"/>
        <v>0</v>
      </c>
      <c r="U175" s="5"/>
      <c r="V175" s="5"/>
      <c r="W175" s="5"/>
    </row>
    <row r="176" spans="1:23" s="83" customFormat="1" ht="9.75" customHeight="1" hidden="1">
      <c r="A176" s="77"/>
      <c r="B176" s="104"/>
      <c r="C176" s="104"/>
      <c r="D176" s="101"/>
      <c r="E176" s="17"/>
      <c r="F176" s="17"/>
      <c r="G176" s="139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>
        <f t="shared" si="33"/>
        <v>0</v>
      </c>
      <c r="U176" s="21"/>
      <c r="V176" s="21"/>
      <c r="W176" s="21"/>
    </row>
    <row r="177" spans="1:23" s="83" customFormat="1" ht="27.75" customHeight="1">
      <c r="A177" s="77"/>
      <c r="B177" s="43"/>
      <c r="C177" s="43"/>
      <c r="D177" s="43">
        <f>'GASTOS CONSOLIDADO'!C178</f>
        <v>848</v>
      </c>
      <c r="E177" s="1"/>
      <c r="F177" s="1"/>
      <c r="G177" s="114" t="str">
        <f>'GASTOS CONSOLIDADO'!F178</f>
        <v>Transferencias para Complemento Nutricional en  las Escuelas Públicas</v>
      </c>
      <c r="H177" s="107">
        <f>+H178</f>
        <v>197075460</v>
      </c>
      <c r="I177" s="107">
        <f aca="true" t="shared" si="40" ref="I177:W177">+I178</f>
        <v>209467966</v>
      </c>
      <c r="J177" s="107">
        <f t="shared" si="40"/>
        <v>406543426</v>
      </c>
      <c r="K177" s="107">
        <f t="shared" si="40"/>
        <v>0</v>
      </c>
      <c r="L177" s="107">
        <f t="shared" si="40"/>
        <v>0</v>
      </c>
      <c r="M177" s="107">
        <f t="shared" si="40"/>
        <v>0</v>
      </c>
      <c r="N177" s="107">
        <f t="shared" si="40"/>
        <v>0</v>
      </c>
      <c r="O177" s="107">
        <f t="shared" si="40"/>
        <v>0</v>
      </c>
      <c r="P177" s="107">
        <f t="shared" si="40"/>
        <v>0</v>
      </c>
      <c r="Q177" s="107">
        <f t="shared" si="40"/>
        <v>0</v>
      </c>
      <c r="R177" s="107">
        <f t="shared" si="40"/>
        <v>0</v>
      </c>
      <c r="S177" s="107">
        <f t="shared" si="40"/>
        <v>0</v>
      </c>
      <c r="T177" s="107">
        <f t="shared" si="33"/>
        <v>0</v>
      </c>
      <c r="U177" s="107">
        <f t="shared" si="40"/>
        <v>406543426</v>
      </c>
      <c r="V177" s="107">
        <f t="shared" si="40"/>
        <v>0</v>
      </c>
      <c r="W177" s="107">
        <f t="shared" si="40"/>
        <v>0</v>
      </c>
    </row>
    <row r="178" spans="1:23" s="83" customFormat="1" ht="20.25">
      <c r="A178" s="77"/>
      <c r="B178" s="103"/>
      <c r="C178" s="103"/>
      <c r="D178" s="100">
        <f>'GASTOS CONSOLIDADO'!C179</f>
        <v>848</v>
      </c>
      <c r="E178" s="2" t="str">
        <f>'GASTOS CONSOLIDADO'!D179</f>
        <v>30</v>
      </c>
      <c r="F178" s="2" t="str">
        <f>'GASTOS CONSOLIDADO'!E179</f>
        <v>003</v>
      </c>
      <c r="G178" s="115" t="str">
        <f>'GASTOS CONSOLIDADO'!F179</f>
        <v>Transferencias para Complemento Nutricional en  las Escuelas Públicas</v>
      </c>
      <c r="H178" s="5">
        <f>'GASTOS CONSOLIDADO'!G179</f>
        <v>197075460</v>
      </c>
      <c r="I178" s="5">
        <f>'GASTOS CONSOLIDADO'!H179</f>
        <v>209467966</v>
      </c>
      <c r="J178" s="5">
        <f>H178+I178</f>
        <v>406543426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/>
      <c r="S178" s="5"/>
      <c r="T178" s="5">
        <f t="shared" si="33"/>
        <v>0</v>
      </c>
      <c r="U178" s="7">
        <f>J178-T178</f>
        <v>406543426</v>
      </c>
      <c r="V178" s="5">
        <f>+T178</f>
        <v>0</v>
      </c>
      <c r="W178" s="5">
        <f>+T178-V178</f>
        <v>0</v>
      </c>
    </row>
    <row r="179" spans="1:23" s="83" customFormat="1" ht="13.5">
      <c r="A179" s="77"/>
      <c r="B179" s="104"/>
      <c r="C179" s="104"/>
      <c r="D179" s="101"/>
      <c r="E179" s="17"/>
      <c r="F179" s="17"/>
      <c r="G179" s="139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>
        <f t="shared" si="33"/>
        <v>0</v>
      </c>
      <c r="U179" s="30"/>
      <c r="V179" s="21"/>
      <c r="W179" s="21"/>
    </row>
    <row r="180" spans="1:23" s="98" customFormat="1" ht="13.5" hidden="1">
      <c r="A180" s="77"/>
      <c r="B180" s="43">
        <f>'GASTOS CONSOLIDADO'!A182</f>
        <v>900</v>
      </c>
      <c r="C180" s="43"/>
      <c r="D180" s="43"/>
      <c r="E180" s="1"/>
      <c r="F180" s="1"/>
      <c r="G180" s="114" t="str">
        <f>'GASTOS CONSOLIDADO'!F182</f>
        <v>OTROS GASTOS</v>
      </c>
      <c r="H180" s="3">
        <f aca="true" t="shared" si="41" ref="H180:O180">H181+H185+H188+H192</f>
        <v>0</v>
      </c>
      <c r="I180" s="3">
        <f t="shared" si="41"/>
        <v>0</v>
      </c>
      <c r="J180" s="3">
        <f t="shared" si="41"/>
        <v>0</v>
      </c>
      <c r="K180" s="3">
        <f t="shared" si="41"/>
        <v>0</v>
      </c>
      <c r="L180" s="3">
        <f t="shared" si="41"/>
        <v>0</v>
      </c>
      <c r="M180" s="3">
        <f t="shared" si="41"/>
        <v>0</v>
      </c>
      <c r="N180" s="3">
        <f t="shared" si="41"/>
        <v>0</v>
      </c>
      <c r="O180" s="3">
        <f t="shared" si="41"/>
        <v>0</v>
      </c>
      <c r="P180" s="3">
        <f aca="true" t="shared" si="42" ref="P180:W180">P181+P185+P188+P192</f>
        <v>0</v>
      </c>
      <c r="Q180" s="3">
        <f t="shared" si="42"/>
        <v>0</v>
      </c>
      <c r="R180" s="3"/>
      <c r="S180" s="3"/>
      <c r="T180" s="3">
        <f t="shared" si="33"/>
        <v>0</v>
      </c>
      <c r="U180" s="6">
        <f t="shared" si="42"/>
        <v>0</v>
      </c>
      <c r="V180" s="3">
        <f t="shared" si="42"/>
        <v>0</v>
      </c>
      <c r="W180" s="3">
        <f t="shared" si="42"/>
        <v>0</v>
      </c>
    </row>
    <row r="181" spans="1:23" s="98" customFormat="1" ht="13.5" hidden="1">
      <c r="A181" s="77"/>
      <c r="B181" s="102"/>
      <c r="C181" s="102">
        <f>'GASTOS CONSOLIDADO'!B183</f>
        <v>910</v>
      </c>
      <c r="D181" s="43"/>
      <c r="E181" s="1"/>
      <c r="F181" s="1"/>
      <c r="G181" s="114" t="str">
        <f>'GASTOS CONSOLIDADO'!F183</f>
        <v>Pagos de Imp. Tasas y Gastos Judicial.</v>
      </c>
      <c r="H181" s="3">
        <f aca="true" t="shared" si="43" ref="H181:N181">SUM(H182:H184)</f>
        <v>0</v>
      </c>
      <c r="I181" s="3">
        <f t="shared" si="43"/>
        <v>0</v>
      </c>
      <c r="J181" s="3">
        <f t="shared" si="43"/>
        <v>0</v>
      </c>
      <c r="K181" s="3">
        <f t="shared" si="43"/>
        <v>0</v>
      </c>
      <c r="L181" s="3">
        <f t="shared" si="43"/>
        <v>0</v>
      </c>
      <c r="M181" s="3">
        <f t="shared" si="43"/>
        <v>0</v>
      </c>
      <c r="N181" s="3">
        <f t="shared" si="43"/>
        <v>0</v>
      </c>
      <c r="O181" s="3">
        <f>SUM(O182:O184)</f>
        <v>0</v>
      </c>
      <c r="P181" s="3">
        <f aca="true" t="shared" si="44" ref="P181:W181">SUM(P182:P184)</f>
        <v>0</v>
      </c>
      <c r="Q181" s="3">
        <f t="shared" si="44"/>
        <v>0</v>
      </c>
      <c r="R181" s="3"/>
      <c r="S181" s="3"/>
      <c r="T181" s="3">
        <f t="shared" si="33"/>
        <v>0</v>
      </c>
      <c r="U181" s="6">
        <f t="shared" si="44"/>
        <v>0</v>
      </c>
      <c r="V181" s="3">
        <f t="shared" si="44"/>
        <v>0</v>
      </c>
      <c r="W181" s="3">
        <f t="shared" si="44"/>
        <v>0</v>
      </c>
    </row>
    <row r="182" spans="1:23" s="98" customFormat="1" ht="13.5" hidden="1">
      <c r="A182" s="77"/>
      <c r="B182" s="103"/>
      <c r="C182" s="103"/>
      <c r="D182" s="100"/>
      <c r="E182" s="2"/>
      <c r="F182" s="2"/>
      <c r="G182" s="11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>
        <f t="shared" si="33"/>
        <v>0</v>
      </c>
      <c r="U182" s="7"/>
      <c r="V182" s="5"/>
      <c r="W182" s="5"/>
    </row>
    <row r="183" spans="1:23" s="98" customFormat="1" ht="13.5" hidden="1">
      <c r="A183" s="77"/>
      <c r="B183" s="103"/>
      <c r="C183" s="103"/>
      <c r="D183" s="100"/>
      <c r="E183" s="2"/>
      <c r="F183" s="2"/>
      <c r="G183" s="11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>
        <f t="shared" si="33"/>
        <v>0</v>
      </c>
      <c r="U183" s="7"/>
      <c r="V183" s="5"/>
      <c r="W183" s="5"/>
    </row>
    <row r="184" spans="1:23" s="83" customFormat="1" ht="13.5" hidden="1">
      <c r="A184" s="77"/>
      <c r="B184" s="104"/>
      <c r="C184" s="104"/>
      <c r="D184" s="101"/>
      <c r="E184" s="17"/>
      <c r="F184" s="17"/>
      <c r="G184" s="139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>
        <f t="shared" si="33"/>
        <v>0</v>
      </c>
      <c r="U184" s="30"/>
      <c r="V184" s="21"/>
      <c r="W184" s="21"/>
    </row>
    <row r="185" spans="1:23" s="98" customFormat="1" ht="13.5" hidden="1">
      <c r="A185" s="77"/>
      <c r="B185" s="102"/>
      <c r="C185" s="102">
        <f>'GASTOS CONSOLIDADO'!B187</f>
        <v>920</v>
      </c>
      <c r="D185" s="43"/>
      <c r="E185" s="1"/>
      <c r="F185" s="1"/>
      <c r="G185" s="114" t="str">
        <f>'GASTOS CONSOLIDADO'!F187</f>
        <v>Devol. de Imp. y otros Ing. no Tributario</v>
      </c>
      <c r="H185" s="3">
        <f>'GASTOS CONSOLIDADO'!G187</f>
        <v>0</v>
      </c>
      <c r="I185" s="3">
        <f>'GASTOS CONSOLIDADO'!H187</f>
        <v>0</v>
      </c>
      <c r="J185" s="3">
        <f aca="true" t="shared" si="45" ref="J185:W185">J186</f>
        <v>0</v>
      </c>
      <c r="K185" s="3">
        <f t="shared" si="45"/>
        <v>0</v>
      </c>
      <c r="L185" s="3">
        <f t="shared" si="45"/>
        <v>0</v>
      </c>
      <c r="M185" s="3">
        <f t="shared" si="45"/>
        <v>0</v>
      </c>
      <c r="N185" s="3">
        <f t="shared" si="45"/>
        <v>0</v>
      </c>
      <c r="O185" s="3">
        <f t="shared" si="45"/>
        <v>0</v>
      </c>
      <c r="P185" s="3">
        <f t="shared" si="45"/>
        <v>0</v>
      </c>
      <c r="Q185" s="3">
        <f t="shared" si="45"/>
        <v>0</v>
      </c>
      <c r="R185" s="3"/>
      <c r="S185" s="3"/>
      <c r="T185" s="3">
        <f t="shared" si="33"/>
        <v>0</v>
      </c>
      <c r="U185" s="6">
        <f t="shared" si="45"/>
        <v>0</v>
      </c>
      <c r="V185" s="3">
        <f t="shared" si="45"/>
        <v>0</v>
      </c>
      <c r="W185" s="3">
        <f t="shared" si="45"/>
        <v>0</v>
      </c>
    </row>
    <row r="186" spans="1:23" s="98" customFormat="1" ht="13.5" hidden="1">
      <c r="A186" s="77"/>
      <c r="B186" s="103"/>
      <c r="C186" s="103"/>
      <c r="D186" s="100"/>
      <c r="E186" s="2"/>
      <c r="F186" s="2"/>
      <c r="G186" s="11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>
        <f t="shared" si="33"/>
        <v>0</v>
      </c>
      <c r="U186" s="7"/>
      <c r="V186" s="5"/>
      <c r="W186" s="5"/>
    </row>
    <row r="187" spans="1:23" s="83" customFormat="1" ht="13.5" hidden="1">
      <c r="A187" s="77"/>
      <c r="B187" s="104"/>
      <c r="C187" s="104"/>
      <c r="D187" s="101"/>
      <c r="E187" s="17"/>
      <c r="F187" s="17"/>
      <c r="G187" s="139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>
        <f t="shared" si="33"/>
        <v>0</v>
      </c>
      <c r="U187" s="30"/>
      <c r="V187" s="21"/>
      <c r="W187" s="21"/>
    </row>
    <row r="188" spans="1:23" s="98" customFormat="1" ht="13.5" hidden="1">
      <c r="A188" s="77"/>
      <c r="B188" s="102"/>
      <c r="C188" s="102">
        <f>'GASTOS CONSOLIDADO'!B190</f>
        <v>960</v>
      </c>
      <c r="D188" s="43"/>
      <c r="E188" s="1"/>
      <c r="F188" s="1"/>
      <c r="G188" s="114" t="str">
        <f>'GASTOS CONSOLIDADO'!F190</f>
        <v>Deudas Pend.de Pago de Ejerc. Anterior</v>
      </c>
      <c r="H188" s="3">
        <f aca="true" t="shared" si="46" ref="H188:O188">SUM(H189:H191)</f>
        <v>0</v>
      </c>
      <c r="I188" s="3">
        <f t="shared" si="46"/>
        <v>0</v>
      </c>
      <c r="J188" s="3">
        <f t="shared" si="46"/>
        <v>0</v>
      </c>
      <c r="K188" s="3">
        <f t="shared" si="46"/>
        <v>0</v>
      </c>
      <c r="L188" s="3">
        <f t="shared" si="46"/>
        <v>0</v>
      </c>
      <c r="M188" s="3">
        <f t="shared" si="46"/>
        <v>0</v>
      </c>
      <c r="N188" s="3">
        <f t="shared" si="46"/>
        <v>0</v>
      </c>
      <c r="O188" s="3">
        <f t="shared" si="46"/>
        <v>0</v>
      </c>
      <c r="P188" s="3">
        <f aca="true" t="shared" si="47" ref="P188:W188">SUM(P189:P191)</f>
        <v>0</v>
      </c>
      <c r="Q188" s="3">
        <f t="shared" si="47"/>
        <v>0</v>
      </c>
      <c r="R188" s="3"/>
      <c r="S188" s="3"/>
      <c r="T188" s="3">
        <f t="shared" si="33"/>
        <v>0</v>
      </c>
      <c r="U188" s="6">
        <f t="shared" si="47"/>
        <v>0</v>
      </c>
      <c r="V188" s="3">
        <f t="shared" si="47"/>
        <v>0</v>
      </c>
      <c r="W188" s="3">
        <f t="shared" si="47"/>
        <v>0</v>
      </c>
    </row>
    <row r="189" spans="1:23" s="98" customFormat="1" ht="13.5" hidden="1">
      <c r="A189" s="77"/>
      <c r="B189" s="103"/>
      <c r="C189" s="103"/>
      <c r="D189" s="100"/>
      <c r="E189" s="2"/>
      <c r="F189" s="2"/>
      <c r="G189" s="115"/>
      <c r="H189" s="106"/>
      <c r="I189" s="106"/>
      <c r="J189" s="106"/>
      <c r="K189" s="5"/>
      <c r="L189" s="5"/>
      <c r="M189" s="5"/>
      <c r="N189" s="5"/>
      <c r="O189" s="5"/>
      <c r="P189" s="5"/>
      <c r="Q189" s="5"/>
      <c r="R189" s="5"/>
      <c r="S189" s="5"/>
      <c r="T189" s="5">
        <f t="shared" si="33"/>
        <v>0</v>
      </c>
      <c r="U189" s="7"/>
      <c r="V189" s="5"/>
      <c r="W189" s="5"/>
    </row>
    <row r="190" spans="1:23" s="98" customFormat="1" ht="13.5" hidden="1">
      <c r="A190" s="77"/>
      <c r="B190" s="103"/>
      <c r="C190" s="103"/>
      <c r="D190" s="100"/>
      <c r="E190" s="2"/>
      <c r="F190" s="2"/>
      <c r="G190" s="115"/>
      <c r="H190" s="106"/>
      <c r="I190" s="106"/>
      <c r="J190" s="106"/>
      <c r="K190" s="5"/>
      <c r="L190" s="5"/>
      <c r="M190" s="5"/>
      <c r="N190" s="5"/>
      <c r="O190" s="5"/>
      <c r="P190" s="5"/>
      <c r="Q190" s="5"/>
      <c r="R190" s="5"/>
      <c r="S190" s="5"/>
      <c r="T190" s="5">
        <f t="shared" si="33"/>
        <v>0</v>
      </c>
      <c r="U190" s="7"/>
      <c r="V190" s="5"/>
      <c r="W190" s="5"/>
    </row>
    <row r="191" spans="1:23" s="83" customFormat="1" ht="13.5" hidden="1">
      <c r="A191" s="77"/>
      <c r="B191" s="104"/>
      <c r="C191" s="104"/>
      <c r="D191" s="101"/>
      <c r="E191" s="17"/>
      <c r="F191" s="17"/>
      <c r="G191" s="139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>
        <f t="shared" si="33"/>
        <v>0</v>
      </c>
      <c r="U191" s="30"/>
      <c r="V191" s="21"/>
      <c r="W191" s="21"/>
    </row>
    <row r="192" spans="1:23" s="98" customFormat="1" ht="13.5" hidden="1">
      <c r="A192" s="77"/>
      <c r="B192" s="102"/>
      <c r="C192" s="102">
        <f>'GASTOS CONSOLIDADO'!B194</f>
        <v>990</v>
      </c>
      <c r="D192" s="43"/>
      <c r="E192" s="1"/>
      <c r="F192" s="1"/>
      <c r="G192" s="114" t="str">
        <f>'GASTOS CONSOLIDADO'!F194</f>
        <v>Gastos Imprevistos</v>
      </c>
      <c r="H192" s="3">
        <f aca="true" t="shared" si="48" ref="H192:N192">H193</f>
        <v>0</v>
      </c>
      <c r="I192" s="3">
        <f t="shared" si="48"/>
        <v>0</v>
      </c>
      <c r="J192" s="3">
        <f t="shared" si="48"/>
        <v>0</v>
      </c>
      <c r="K192" s="3">
        <f t="shared" si="48"/>
        <v>0</v>
      </c>
      <c r="L192" s="3">
        <f t="shared" si="48"/>
        <v>0</v>
      </c>
      <c r="M192" s="3">
        <f t="shared" si="48"/>
        <v>0</v>
      </c>
      <c r="N192" s="3">
        <f t="shared" si="48"/>
        <v>0</v>
      </c>
      <c r="O192" s="3">
        <f aca="true" t="shared" si="49" ref="O192:W192">O193</f>
        <v>0</v>
      </c>
      <c r="P192" s="3">
        <f t="shared" si="49"/>
        <v>0</v>
      </c>
      <c r="Q192" s="3">
        <f t="shared" si="49"/>
        <v>0</v>
      </c>
      <c r="R192" s="3"/>
      <c r="S192" s="3"/>
      <c r="T192" s="3">
        <f t="shared" si="33"/>
        <v>0</v>
      </c>
      <c r="U192" s="6">
        <f t="shared" si="49"/>
        <v>0</v>
      </c>
      <c r="V192" s="3">
        <f t="shared" si="49"/>
        <v>0</v>
      </c>
      <c r="W192" s="3">
        <f t="shared" si="49"/>
        <v>0</v>
      </c>
    </row>
    <row r="193" spans="1:23" s="98" customFormat="1" ht="13.5" hidden="1">
      <c r="A193" s="77"/>
      <c r="B193" s="103"/>
      <c r="C193" s="103"/>
      <c r="D193" s="100"/>
      <c r="E193" s="2"/>
      <c r="F193" s="2"/>
      <c r="G193" s="11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>
        <f t="shared" si="33"/>
        <v>0</v>
      </c>
      <c r="U193" s="7"/>
      <c r="V193" s="5"/>
      <c r="W193" s="5"/>
    </row>
    <row r="194" spans="1:23" s="83" customFormat="1" ht="13.5" hidden="1">
      <c r="A194" s="77"/>
      <c r="B194" s="104"/>
      <c r="C194" s="104"/>
      <c r="D194" s="101"/>
      <c r="E194" s="17"/>
      <c r="F194" s="17"/>
      <c r="G194" s="139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>
        <f t="shared" si="33"/>
        <v>0</v>
      </c>
      <c r="U194" s="30"/>
      <c r="V194" s="21"/>
      <c r="W194" s="21"/>
    </row>
    <row r="195" spans="1:23" s="98" customFormat="1" ht="17.25">
      <c r="A195" s="99"/>
      <c r="B195" s="43"/>
      <c r="C195" s="43"/>
      <c r="D195" s="43"/>
      <c r="E195" s="43"/>
      <c r="F195" s="43"/>
      <c r="G195" s="138" t="str">
        <f>'GASTOS CONSOLIDADO'!F197</f>
        <v>GASTOS DE CAPITAL</v>
      </c>
      <c r="H195" s="3">
        <f>+H205</f>
        <v>742822886</v>
      </c>
      <c r="I195" s="3">
        <f aca="true" t="shared" si="50" ref="I195:W195">+I205</f>
        <v>-182723327</v>
      </c>
      <c r="J195" s="3">
        <f t="shared" si="50"/>
        <v>560099559</v>
      </c>
      <c r="K195" s="3">
        <f t="shared" si="50"/>
        <v>0</v>
      </c>
      <c r="L195" s="3">
        <f t="shared" si="50"/>
        <v>0</v>
      </c>
      <c r="M195" s="3">
        <f t="shared" si="50"/>
        <v>0</v>
      </c>
      <c r="N195" s="3">
        <f t="shared" si="50"/>
        <v>0</v>
      </c>
      <c r="O195" s="3">
        <f>+O205</f>
        <v>0</v>
      </c>
      <c r="P195" s="3">
        <f t="shared" si="50"/>
        <v>0</v>
      </c>
      <c r="Q195" s="3">
        <f t="shared" si="50"/>
        <v>0</v>
      </c>
      <c r="R195" s="3">
        <f t="shared" si="50"/>
        <v>41685755</v>
      </c>
      <c r="S195" s="3">
        <f t="shared" si="50"/>
        <v>45159567</v>
      </c>
      <c r="T195" s="3">
        <f t="shared" si="33"/>
        <v>86845322</v>
      </c>
      <c r="U195" s="3">
        <f t="shared" si="50"/>
        <v>473254237</v>
      </c>
      <c r="V195" s="3">
        <f t="shared" si="50"/>
        <v>86845322</v>
      </c>
      <c r="W195" s="3">
        <f t="shared" si="50"/>
        <v>0</v>
      </c>
    </row>
    <row r="196" spans="1:23" s="98" customFormat="1" ht="13.5" hidden="1">
      <c r="A196" s="77"/>
      <c r="B196" s="43">
        <f>'GASTOS CONSOLIDADO'!A198</f>
        <v>400</v>
      </c>
      <c r="C196" s="43"/>
      <c r="D196" s="43"/>
      <c r="E196" s="1"/>
      <c r="F196" s="1"/>
      <c r="G196" s="114" t="str">
        <f>'GASTOS CONSOLIDADO'!F198</f>
        <v>BIENES DE CAMBIO</v>
      </c>
      <c r="H196" s="3">
        <f>H197+H201</f>
        <v>0</v>
      </c>
      <c r="I196" s="3">
        <f aca="true" t="shared" si="51" ref="I196:W196">I197+I201</f>
        <v>0</v>
      </c>
      <c r="J196" s="3">
        <f t="shared" si="51"/>
        <v>0</v>
      </c>
      <c r="K196" s="3">
        <f t="shared" si="51"/>
        <v>0</v>
      </c>
      <c r="L196" s="3">
        <f t="shared" si="51"/>
        <v>0</v>
      </c>
      <c r="M196" s="3">
        <f t="shared" si="51"/>
        <v>0</v>
      </c>
      <c r="N196" s="3">
        <f t="shared" si="51"/>
        <v>0</v>
      </c>
      <c r="O196" s="3">
        <f>O197+O201</f>
        <v>0</v>
      </c>
      <c r="P196" s="3">
        <f t="shared" si="51"/>
        <v>0</v>
      </c>
      <c r="Q196" s="3">
        <f t="shared" si="51"/>
        <v>0</v>
      </c>
      <c r="R196" s="3">
        <f t="shared" si="51"/>
        <v>0</v>
      </c>
      <c r="S196" s="3">
        <f t="shared" si="51"/>
        <v>0</v>
      </c>
      <c r="T196" s="3">
        <f t="shared" si="33"/>
        <v>0</v>
      </c>
      <c r="U196" s="3">
        <f t="shared" si="51"/>
        <v>0</v>
      </c>
      <c r="V196" s="3">
        <f t="shared" si="51"/>
        <v>0</v>
      </c>
      <c r="W196" s="3">
        <f t="shared" si="51"/>
        <v>0</v>
      </c>
    </row>
    <row r="197" spans="1:23" s="98" customFormat="1" ht="13.5" hidden="1">
      <c r="A197" s="77"/>
      <c r="B197" s="102"/>
      <c r="C197" s="102">
        <f>'GASTOS CONSOLIDADO'!B199</f>
        <v>410</v>
      </c>
      <c r="D197" s="43"/>
      <c r="E197" s="1"/>
      <c r="F197" s="1"/>
      <c r="G197" s="114" t="str">
        <f>'GASTOS CONSOLIDADO'!F199</f>
        <v>Bienes e Insumos del Sector Agropecuario y Forestal</v>
      </c>
      <c r="H197" s="3">
        <f>SUM(H198:H200)</f>
        <v>0</v>
      </c>
      <c r="I197" s="3">
        <f aca="true" t="shared" si="52" ref="I197:W197">SUM(I198:I200)</f>
        <v>0</v>
      </c>
      <c r="J197" s="3">
        <f t="shared" si="52"/>
        <v>0</v>
      </c>
      <c r="K197" s="3">
        <f t="shared" si="52"/>
        <v>0</v>
      </c>
      <c r="L197" s="3">
        <f t="shared" si="52"/>
        <v>0</v>
      </c>
      <c r="M197" s="3">
        <f t="shared" si="52"/>
        <v>0</v>
      </c>
      <c r="N197" s="3">
        <f t="shared" si="52"/>
        <v>0</v>
      </c>
      <c r="O197" s="3">
        <f>SUM(O198:O200)</f>
        <v>0</v>
      </c>
      <c r="P197" s="3">
        <f t="shared" si="52"/>
        <v>0</v>
      </c>
      <c r="Q197" s="3">
        <f t="shared" si="52"/>
        <v>0</v>
      </c>
      <c r="R197" s="3">
        <f t="shared" si="52"/>
        <v>0</v>
      </c>
      <c r="S197" s="3">
        <f t="shared" si="52"/>
        <v>0</v>
      </c>
      <c r="T197" s="3">
        <f t="shared" si="33"/>
        <v>0</v>
      </c>
      <c r="U197" s="3">
        <f t="shared" si="52"/>
        <v>0</v>
      </c>
      <c r="V197" s="3">
        <f t="shared" si="52"/>
        <v>0</v>
      </c>
      <c r="W197" s="3">
        <f t="shared" si="52"/>
        <v>0</v>
      </c>
    </row>
    <row r="198" spans="1:23" s="98" customFormat="1" ht="13.5" hidden="1">
      <c r="A198" s="77"/>
      <c r="B198" s="103"/>
      <c r="C198" s="103"/>
      <c r="D198" s="100"/>
      <c r="E198" s="2"/>
      <c r="F198" s="2"/>
      <c r="G198" s="11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>
        <f t="shared" si="33"/>
        <v>0</v>
      </c>
      <c r="U198" s="5"/>
      <c r="V198" s="5"/>
      <c r="W198" s="5"/>
    </row>
    <row r="199" spans="1:23" s="98" customFormat="1" ht="13.5" hidden="1">
      <c r="A199" s="77"/>
      <c r="B199" s="103"/>
      <c r="C199" s="103"/>
      <c r="D199" s="100"/>
      <c r="E199" s="2"/>
      <c r="F199" s="2"/>
      <c r="G199" s="11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>
        <f t="shared" si="33"/>
        <v>0</v>
      </c>
      <c r="U199" s="5"/>
      <c r="V199" s="5"/>
      <c r="W199" s="5"/>
    </row>
    <row r="200" spans="1:23" s="98" customFormat="1" ht="15" hidden="1">
      <c r="A200" s="77"/>
      <c r="B200" s="43"/>
      <c r="C200" s="43"/>
      <c r="D200" s="43"/>
      <c r="E200" s="43"/>
      <c r="F200" s="43"/>
      <c r="G200" s="66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>
        <f t="shared" si="33"/>
        <v>0</v>
      </c>
      <c r="U200" s="3"/>
      <c r="V200" s="3"/>
      <c r="W200" s="3"/>
    </row>
    <row r="201" spans="1:23" s="98" customFormat="1" ht="13.5" hidden="1">
      <c r="A201" s="77"/>
      <c r="B201" s="102"/>
      <c r="C201" s="102">
        <f>'GASTOS CONSOLIDADO'!B203</f>
        <v>420</v>
      </c>
      <c r="D201" s="43"/>
      <c r="E201" s="1"/>
      <c r="F201" s="1"/>
      <c r="G201" s="114" t="str">
        <f>'GASTOS CONSOLIDADO'!F203</f>
        <v>Minerales</v>
      </c>
      <c r="H201" s="3">
        <f>'GASTOS CONSOLIDADO'!G203</f>
        <v>0</v>
      </c>
      <c r="I201" s="3">
        <f>'GASTOS CONSOLIDADO'!H203</f>
        <v>0</v>
      </c>
      <c r="J201" s="3">
        <f>'GASTOS CONSOLIDADO'!I203</f>
        <v>0</v>
      </c>
      <c r="K201" s="3">
        <f>'GASTOS CONSOLIDADO'!J203</f>
        <v>0</v>
      </c>
      <c r="L201" s="3">
        <f>'GASTOS CONSOLIDADO'!K203</f>
        <v>0</v>
      </c>
      <c r="M201" s="3">
        <f>'GASTOS CONSOLIDADO'!L203</f>
        <v>0</v>
      </c>
      <c r="N201" s="3">
        <f>'GASTOS CONSOLIDADO'!M203</f>
        <v>0</v>
      </c>
      <c r="O201" s="3">
        <f>'GASTOS CONSOLIDADO'!L203</f>
        <v>0</v>
      </c>
      <c r="P201" s="3">
        <f>'GASTOS CONSOLIDADO'!O203</f>
        <v>0</v>
      </c>
      <c r="Q201" s="3">
        <f>'GASTOS CONSOLIDADO'!P203</f>
        <v>0</v>
      </c>
      <c r="R201" s="3">
        <f>'GASTOS CONSOLIDADO'!S203</f>
        <v>0</v>
      </c>
      <c r="S201" s="3">
        <f>'GASTOS CONSOLIDADO'!T203</f>
        <v>0</v>
      </c>
      <c r="T201" s="3">
        <f t="shared" si="33"/>
        <v>0</v>
      </c>
      <c r="U201" s="3">
        <f>'GASTOS CONSOLIDADO'!V203</f>
        <v>0</v>
      </c>
      <c r="V201" s="3">
        <f>'GASTOS CONSOLIDADO'!W203</f>
        <v>0</v>
      </c>
      <c r="W201" s="3">
        <f>'GASTOS CONSOLIDADO'!X203</f>
        <v>0</v>
      </c>
    </row>
    <row r="202" spans="1:23" s="98" customFormat="1" ht="13.5" hidden="1">
      <c r="A202" s="77"/>
      <c r="B202" s="103"/>
      <c r="C202" s="103"/>
      <c r="D202" s="100"/>
      <c r="E202" s="2"/>
      <c r="F202" s="2"/>
      <c r="G202" s="11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>
        <f t="shared" si="33"/>
        <v>0</v>
      </c>
      <c r="U202" s="5"/>
      <c r="V202" s="5"/>
      <c r="W202" s="5"/>
    </row>
    <row r="203" spans="1:23" s="98" customFormat="1" ht="13.5" hidden="1">
      <c r="A203" s="77"/>
      <c r="B203" s="103"/>
      <c r="C203" s="103"/>
      <c r="D203" s="100"/>
      <c r="E203" s="2"/>
      <c r="F203" s="2"/>
      <c r="G203" s="11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>
        <f t="shared" si="33"/>
        <v>0</v>
      </c>
      <c r="U203" s="5"/>
      <c r="V203" s="5"/>
      <c r="W203" s="5"/>
    </row>
    <row r="204" spans="1:23" s="98" customFormat="1" ht="15" hidden="1">
      <c r="A204" s="77"/>
      <c r="B204" s="43"/>
      <c r="C204" s="43"/>
      <c r="D204" s="43"/>
      <c r="E204" s="43"/>
      <c r="F204" s="43"/>
      <c r="G204" s="66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>
        <f t="shared" si="33"/>
        <v>0</v>
      </c>
      <c r="U204" s="3"/>
      <c r="V204" s="3"/>
      <c r="W204" s="3"/>
    </row>
    <row r="205" spans="1:23" s="98" customFormat="1" ht="13.5">
      <c r="A205" s="77"/>
      <c r="B205" s="43">
        <f>'GASTOS CONSOLIDADO'!A207</f>
        <v>500</v>
      </c>
      <c r="C205" s="43"/>
      <c r="D205" s="43"/>
      <c r="E205" s="1"/>
      <c r="F205" s="1"/>
      <c r="G205" s="114" t="str">
        <f>'GASTOS CONSOLIDADO'!F207</f>
        <v>INVERSIÓN FÍSICA</v>
      </c>
      <c r="H205" s="3">
        <f>+H210</f>
        <v>742822886</v>
      </c>
      <c r="I205" s="3">
        <f aca="true" t="shared" si="53" ref="I205:W205">+I210</f>
        <v>-182723327</v>
      </c>
      <c r="J205" s="3">
        <f t="shared" si="53"/>
        <v>560099559</v>
      </c>
      <c r="K205" s="3">
        <f t="shared" si="53"/>
        <v>0</v>
      </c>
      <c r="L205" s="3">
        <f t="shared" si="53"/>
        <v>0</v>
      </c>
      <c r="M205" s="3">
        <f t="shared" si="53"/>
        <v>0</v>
      </c>
      <c r="N205" s="3">
        <f t="shared" si="53"/>
        <v>0</v>
      </c>
      <c r="O205" s="3">
        <f>+O210</f>
        <v>0</v>
      </c>
      <c r="P205" s="3">
        <f t="shared" si="53"/>
        <v>0</v>
      </c>
      <c r="Q205" s="3">
        <f t="shared" si="53"/>
        <v>0</v>
      </c>
      <c r="R205" s="3">
        <f t="shared" si="53"/>
        <v>41685755</v>
      </c>
      <c r="S205" s="3">
        <f t="shared" si="53"/>
        <v>45159567</v>
      </c>
      <c r="T205" s="3">
        <f t="shared" si="33"/>
        <v>86845322</v>
      </c>
      <c r="U205" s="3">
        <f t="shared" si="53"/>
        <v>473254237</v>
      </c>
      <c r="V205" s="3">
        <f t="shared" si="53"/>
        <v>86845322</v>
      </c>
      <c r="W205" s="3">
        <f t="shared" si="53"/>
        <v>0</v>
      </c>
    </row>
    <row r="206" spans="1:23" s="98" customFormat="1" ht="13.5" hidden="1">
      <c r="A206" s="77"/>
      <c r="B206" s="102"/>
      <c r="C206" s="102">
        <f>'GASTOS CONSOLIDADO'!B208</f>
        <v>510</v>
      </c>
      <c r="D206" s="43"/>
      <c r="E206" s="1"/>
      <c r="F206" s="1"/>
      <c r="G206" s="114" t="str">
        <f>'GASTOS CONSOLIDADO'!F208</f>
        <v>Adquisición de Inmuebles</v>
      </c>
      <c r="H206" s="3">
        <f>SUM(H207:H209)</f>
        <v>0</v>
      </c>
      <c r="I206" s="3">
        <f aca="true" t="shared" si="54" ref="I206:W206">SUM(I207:I209)</f>
        <v>0</v>
      </c>
      <c r="J206" s="3">
        <f t="shared" si="54"/>
        <v>0</v>
      </c>
      <c r="K206" s="3">
        <f t="shared" si="54"/>
        <v>0</v>
      </c>
      <c r="L206" s="3">
        <f t="shared" si="54"/>
        <v>0</v>
      </c>
      <c r="M206" s="3">
        <f t="shared" si="54"/>
        <v>0</v>
      </c>
      <c r="N206" s="3">
        <f t="shared" si="54"/>
        <v>0</v>
      </c>
      <c r="O206" s="3">
        <f>SUM(O207:O209)</f>
        <v>0</v>
      </c>
      <c r="P206" s="3">
        <f t="shared" si="54"/>
        <v>0</v>
      </c>
      <c r="Q206" s="3">
        <f t="shared" si="54"/>
        <v>0</v>
      </c>
      <c r="R206" s="3">
        <f t="shared" si="54"/>
        <v>0</v>
      </c>
      <c r="S206" s="3">
        <f t="shared" si="54"/>
        <v>0</v>
      </c>
      <c r="T206" s="3">
        <f t="shared" si="33"/>
        <v>0</v>
      </c>
      <c r="U206" s="3">
        <f t="shared" si="54"/>
        <v>0</v>
      </c>
      <c r="V206" s="3">
        <f t="shared" si="54"/>
        <v>0</v>
      </c>
      <c r="W206" s="3">
        <f t="shared" si="54"/>
        <v>0</v>
      </c>
    </row>
    <row r="207" spans="1:23" s="98" customFormat="1" ht="13.5" hidden="1">
      <c r="A207" s="77"/>
      <c r="B207" s="103"/>
      <c r="C207" s="103"/>
      <c r="D207" s="100"/>
      <c r="E207" s="2"/>
      <c r="F207" s="2"/>
      <c r="G207" s="11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>
        <f aca="true" t="shared" si="55" ref="T207:T260">+O207+P207+Q207+R207+S207</f>
        <v>0</v>
      </c>
      <c r="U207" s="5"/>
      <c r="V207" s="5"/>
      <c r="W207" s="5"/>
    </row>
    <row r="208" spans="1:23" s="98" customFormat="1" ht="13.5" hidden="1">
      <c r="A208" s="77"/>
      <c r="B208" s="103"/>
      <c r="C208" s="103"/>
      <c r="D208" s="100"/>
      <c r="E208" s="2"/>
      <c r="F208" s="2"/>
      <c r="G208" s="11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>
        <f t="shared" si="55"/>
        <v>0</v>
      </c>
      <c r="U208" s="5"/>
      <c r="V208" s="5"/>
      <c r="W208" s="5"/>
    </row>
    <row r="209" spans="1:23" s="83" customFormat="1" ht="13.5" hidden="1">
      <c r="A209" s="77"/>
      <c r="B209" s="116"/>
      <c r="C209" s="116"/>
      <c r="D209" s="117"/>
      <c r="E209" s="16"/>
      <c r="F209" s="16"/>
      <c r="G209" s="142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>
        <f t="shared" si="55"/>
        <v>0</v>
      </c>
      <c r="U209" s="118"/>
      <c r="V209" s="118"/>
      <c r="W209" s="118"/>
    </row>
    <row r="210" spans="1:23" s="98" customFormat="1" ht="13.5">
      <c r="A210" s="77"/>
      <c r="B210" s="102"/>
      <c r="C210" s="102">
        <f>'GASTOS CONSOLIDADO'!B212</f>
        <v>520</v>
      </c>
      <c r="D210" s="43"/>
      <c r="E210" s="1"/>
      <c r="F210" s="1"/>
      <c r="G210" s="114" t="str">
        <f>'GASTOS CONSOLIDADO'!F212</f>
        <v>Construcciones</v>
      </c>
      <c r="H210" s="3">
        <f>+H213</f>
        <v>742822886</v>
      </c>
      <c r="I210" s="3">
        <f aca="true" t="shared" si="56" ref="I210:W210">+I213</f>
        <v>-182723327</v>
      </c>
      <c r="J210" s="3">
        <f t="shared" si="56"/>
        <v>560099559</v>
      </c>
      <c r="K210" s="3">
        <f t="shared" si="56"/>
        <v>0</v>
      </c>
      <c r="L210" s="3">
        <f t="shared" si="56"/>
        <v>0</v>
      </c>
      <c r="M210" s="3">
        <f t="shared" si="56"/>
        <v>0</v>
      </c>
      <c r="N210" s="3">
        <f t="shared" si="56"/>
        <v>0</v>
      </c>
      <c r="O210" s="3">
        <f>+O213</f>
        <v>0</v>
      </c>
      <c r="P210" s="3">
        <f t="shared" si="56"/>
        <v>0</v>
      </c>
      <c r="Q210" s="3">
        <f t="shared" si="56"/>
        <v>0</v>
      </c>
      <c r="R210" s="3">
        <f t="shared" si="56"/>
        <v>41685755</v>
      </c>
      <c r="S210" s="3">
        <f t="shared" si="56"/>
        <v>45159567</v>
      </c>
      <c r="T210" s="3">
        <f t="shared" si="55"/>
        <v>86845322</v>
      </c>
      <c r="U210" s="3">
        <f t="shared" si="56"/>
        <v>473254237</v>
      </c>
      <c r="V210" s="3">
        <f t="shared" si="56"/>
        <v>86845322</v>
      </c>
      <c r="W210" s="3">
        <f t="shared" si="56"/>
        <v>0</v>
      </c>
    </row>
    <row r="211" spans="1:23" s="98" customFormat="1" ht="13.5" hidden="1">
      <c r="A211" s="77"/>
      <c r="B211" s="103"/>
      <c r="C211" s="103"/>
      <c r="D211" s="100"/>
      <c r="E211" s="2"/>
      <c r="F211" s="2"/>
      <c r="G211" s="11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>
        <f t="shared" si="55"/>
        <v>0</v>
      </c>
      <c r="U211" s="6">
        <f>SUM(U212:U216)</f>
        <v>946508474</v>
      </c>
      <c r="V211" s="5"/>
      <c r="W211" s="5"/>
    </row>
    <row r="212" spans="1:23" s="98" customFormat="1" ht="13.5" hidden="1">
      <c r="A212" s="77"/>
      <c r="B212" s="103"/>
      <c r="C212" s="103"/>
      <c r="D212" s="100"/>
      <c r="E212" s="2"/>
      <c r="F212" s="2"/>
      <c r="G212" s="11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>
        <f t="shared" si="55"/>
        <v>0</v>
      </c>
      <c r="U212" s="6">
        <f>SUM(U213:U217)</f>
        <v>473254237</v>
      </c>
      <c r="V212" s="5"/>
      <c r="W212" s="5"/>
    </row>
    <row r="213" spans="1:23" s="98" customFormat="1" ht="13.5">
      <c r="A213" s="77"/>
      <c r="B213" s="103"/>
      <c r="C213" s="103"/>
      <c r="D213" s="100">
        <f>'GASTOS CONSOLIDADO'!C215</f>
        <v>520</v>
      </c>
      <c r="E213" s="2" t="str">
        <f>'GASTOS CONSOLIDADO'!D215</f>
        <v>30</v>
      </c>
      <c r="F213" s="2" t="str">
        <f>'GASTOS CONSOLIDADO'!E215</f>
        <v>003</v>
      </c>
      <c r="G213" s="115" t="str">
        <f>'GASTOS CONSOLIDADO'!F215</f>
        <v>Construcciones</v>
      </c>
      <c r="H213" s="5">
        <f>'GASTOS CONSOLIDADO'!G215</f>
        <v>742822886</v>
      </c>
      <c r="I213" s="5">
        <f>'GASTOS CONSOLIDADO'!H215</f>
        <v>-182723327</v>
      </c>
      <c r="J213" s="5">
        <f>H213+I213</f>
        <v>560099559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41685755</v>
      </c>
      <c r="S213" s="5">
        <v>45159567</v>
      </c>
      <c r="T213" s="5">
        <f t="shared" si="55"/>
        <v>86845322</v>
      </c>
      <c r="U213" s="6">
        <f>J213-T213</f>
        <v>473254237</v>
      </c>
      <c r="V213" s="5">
        <f>+T213</f>
        <v>86845322</v>
      </c>
      <c r="W213" s="5">
        <f>+T213-V213</f>
        <v>0</v>
      </c>
    </row>
    <row r="214" spans="1:23" s="98" customFormat="1" ht="13.5" hidden="1">
      <c r="A214" s="77"/>
      <c r="B214" s="103"/>
      <c r="C214" s="103"/>
      <c r="D214" s="100"/>
      <c r="E214" s="2"/>
      <c r="F214" s="2"/>
      <c r="G214" s="11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>
        <f t="shared" si="55"/>
        <v>0</v>
      </c>
      <c r="U214" s="7"/>
      <c r="V214" s="5"/>
      <c r="W214" s="5"/>
    </row>
    <row r="215" spans="1:23" s="83" customFormat="1" ht="13.5" hidden="1">
      <c r="A215" s="77"/>
      <c r="B215" s="104"/>
      <c r="C215" s="104"/>
      <c r="D215" s="101"/>
      <c r="E215" s="17"/>
      <c r="F215" s="17"/>
      <c r="G215" s="139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>
        <f t="shared" si="55"/>
        <v>0</v>
      </c>
      <c r="U215" s="30"/>
      <c r="V215" s="21"/>
      <c r="W215" s="21"/>
    </row>
    <row r="216" spans="1:23" s="98" customFormat="1" ht="20.25" hidden="1">
      <c r="A216" s="77"/>
      <c r="B216" s="43"/>
      <c r="C216" s="43">
        <f>'GASTOS CONSOLIDADO'!B218</f>
        <v>530</v>
      </c>
      <c r="D216" s="43"/>
      <c r="E216" s="1"/>
      <c r="F216" s="1"/>
      <c r="G216" s="114" t="str">
        <f>'GASTOS CONSOLIDADO'!F218</f>
        <v>Adquisición de Maquinarias, Equipos y Herramientas Mayores</v>
      </c>
      <c r="H216" s="107">
        <f aca="true" t="shared" si="57" ref="H216:N216">SUM(H217:H221)</f>
        <v>0</v>
      </c>
      <c r="I216" s="107">
        <f t="shared" si="57"/>
        <v>0</v>
      </c>
      <c r="J216" s="107">
        <f t="shared" si="57"/>
        <v>0</v>
      </c>
      <c r="K216" s="107">
        <f t="shared" si="57"/>
        <v>0</v>
      </c>
      <c r="L216" s="107">
        <f t="shared" si="57"/>
        <v>0</v>
      </c>
      <c r="M216" s="107">
        <f t="shared" si="57"/>
        <v>0</v>
      </c>
      <c r="N216" s="107">
        <f t="shared" si="57"/>
        <v>0</v>
      </c>
      <c r="O216" s="107">
        <f>SUM(O217:O221)</f>
        <v>0</v>
      </c>
      <c r="P216" s="107">
        <f aca="true" t="shared" si="58" ref="P216:W216">SUM(P217:P221)</f>
        <v>0</v>
      </c>
      <c r="Q216" s="107">
        <f t="shared" si="58"/>
        <v>0</v>
      </c>
      <c r="R216" s="107"/>
      <c r="S216" s="107"/>
      <c r="T216" s="107">
        <f t="shared" si="55"/>
        <v>0</v>
      </c>
      <c r="U216" s="140">
        <f t="shared" si="58"/>
        <v>0</v>
      </c>
      <c r="V216" s="107">
        <f t="shared" si="58"/>
        <v>0</v>
      </c>
      <c r="W216" s="107">
        <f t="shared" si="58"/>
        <v>0</v>
      </c>
    </row>
    <row r="217" spans="1:23" s="98" customFormat="1" ht="13.5" hidden="1">
      <c r="A217" s="77"/>
      <c r="B217" s="103"/>
      <c r="C217" s="103"/>
      <c r="D217" s="100"/>
      <c r="E217" s="2"/>
      <c r="F217" s="2"/>
      <c r="G217" s="11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>
        <f t="shared" si="55"/>
        <v>0</v>
      </c>
      <c r="U217" s="7"/>
      <c r="V217" s="5"/>
      <c r="W217" s="5"/>
    </row>
    <row r="218" spans="1:23" s="98" customFormat="1" ht="13.5" hidden="1">
      <c r="A218" s="77"/>
      <c r="B218" s="103"/>
      <c r="C218" s="103"/>
      <c r="D218" s="100"/>
      <c r="E218" s="2"/>
      <c r="F218" s="2"/>
      <c r="G218" s="11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>
        <f t="shared" si="55"/>
        <v>0</v>
      </c>
      <c r="U218" s="7"/>
      <c r="V218" s="5"/>
      <c r="W218" s="5"/>
    </row>
    <row r="219" spans="1:23" s="98" customFormat="1" ht="13.5" hidden="1">
      <c r="A219" s="77"/>
      <c r="B219" s="103"/>
      <c r="C219" s="103"/>
      <c r="D219" s="100"/>
      <c r="E219" s="2"/>
      <c r="F219" s="2"/>
      <c r="G219" s="11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>
        <f t="shared" si="55"/>
        <v>0</v>
      </c>
      <c r="U219" s="7"/>
      <c r="V219" s="5"/>
      <c r="W219" s="5"/>
    </row>
    <row r="220" spans="1:23" s="98" customFormat="1" ht="13.5" hidden="1">
      <c r="A220" s="77"/>
      <c r="B220" s="103"/>
      <c r="C220" s="103"/>
      <c r="D220" s="2"/>
      <c r="E220" s="2"/>
      <c r="F220" s="2"/>
      <c r="G220" s="11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>
        <f t="shared" si="55"/>
        <v>0</v>
      </c>
      <c r="U220" s="7"/>
      <c r="V220" s="5"/>
      <c r="W220" s="5"/>
    </row>
    <row r="221" spans="1:23" s="83" customFormat="1" ht="13.5" hidden="1">
      <c r="A221" s="77"/>
      <c r="B221" s="104"/>
      <c r="C221" s="17"/>
      <c r="D221" s="17"/>
      <c r="E221" s="17"/>
      <c r="F221" s="17"/>
      <c r="G221" s="139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>
        <f t="shared" si="55"/>
        <v>0</v>
      </c>
      <c r="U221" s="30"/>
      <c r="V221" s="21"/>
      <c r="W221" s="21"/>
    </row>
    <row r="222" spans="1:23" s="98" customFormat="1" ht="13.5" hidden="1">
      <c r="A222" s="77"/>
      <c r="B222" s="43"/>
      <c r="C222" s="43">
        <f>'GASTOS CONSOLIDADO'!B224</f>
        <v>540</v>
      </c>
      <c r="D222" s="43"/>
      <c r="E222" s="1"/>
      <c r="F222" s="1"/>
      <c r="G222" s="114" t="str">
        <f>'GASTOS CONSOLIDADO'!F224</f>
        <v>Adquisición de Equipos de Oficina y Computación</v>
      </c>
      <c r="H222" s="107">
        <f aca="true" t="shared" si="59" ref="H222:N222">SUM(H223:H227)</f>
        <v>0</v>
      </c>
      <c r="I222" s="107">
        <f t="shared" si="59"/>
        <v>0</v>
      </c>
      <c r="J222" s="107">
        <f t="shared" si="59"/>
        <v>0</v>
      </c>
      <c r="K222" s="107">
        <f t="shared" si="59"/>
        <v>0</v>
      </c>
      <c r="L222" s="107">
        <f t="shared" si="59"/>
        <v>0</v>
      </c>
      <c r="M222" s="107">
        <f t="shared" si="59"/>
        <v>0</v>
      </c>
      <c r="N222" s="107">
        <f t="shared" si="59"/>
        <v>0</v>
      </c>
      <c r="O222" s="107">
        <f>SUM(O223:O227)</f>
        <v>0</v>
      </c>
      <c r="P222" s="107">
        <f>SUM(P223:P227)</f>
        <v>0</v>
      </c>
      <c r="Q222" s="107">
        <f>SUM(Q223:Q227)</f>
        <v>0</v>
      </c>
      <c r="R222" s="107"/>
      <c r="S222" s="107"/>
      <c r="T222" s="107">
        <f t="shared" si="55"/>
        <v>0</v>
      </c>
      <c r="U222" s="140">
        <f>SUM(U223:U227)</f>
        <v>0</v>
      </c>
      <c r="V222" s="107">
        <f>+V225</f>
        <v>0</v>
      </c>
      <c r="W222" s="107">
        <f>SUM(W223:W227)</f>
        <v>0</v>
      </c>
    </row>
    <row r="223" spans="1:23" s="98" customFormat="1" ht="13.5" hidden="1">
      <c r="A223" s="77"/>
      <c r="B223" s="103"/>
      <c r="C223" s="103"/>
      <c r="D223" s="100"/>
      <c r="E223" s="2"/>
      <c r="F223" s="2"/>
      <c r="G223" s="11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>
        <f t="shared" si="55"/>
        <v>0</v>
      </c>
      <c r="U223" s="7"/>
      <c r="V223" s="5"/>
      <c r="W223" s="5"/>
    </row>
    <row r="224" spans="1:23" s="98" customFormat="1" ht="13.5" hidden="1">
      <c r="A224" s="77"/>
      <c r="B224" s="103"/>
      <c r="C224" s="103"/>
      <c r="D224" s="100"/>
      <c r="E224" s="2"/>
      <c r="F224" s="2"/>
      <c r="G224" s="11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>
        <f t="shared" si="55"/>
        <v>0</v>
      </c>
      <c r="U224" s="7"/>
      <c r="V224" s="5"/>
      <c r="W224" s="5"/>
    </row>
    <row r="225" spans="1:23" s="98" customFormat="1" ht="13.5" hidden="1">
      <c r="A225" s="77"/>
      <c r="B225" s="103"/>
      <c r="C225" s="103"/>
      <c r="D225" s="100">
        <f>'GASTOS CONSOLIDADO'!C227</f>
        <v>540</v>
      </c>
      <c r="E225" s="2" t="str">
        <f>'GASTOS CONSOLIDADO'!D227</f>
        <v>30</v>
      </c>
      <c r="F225" s="2" t="str">
        <f>'GASTOS CONSOLIDADO'!E227</f>
        <v>003</v>
      </c>
      <c r="G225" s="115" t="str">
        <f>'GASTOS CONSOLIDADO'!F227</f>
        <v>Adquisición de Equipos de Oficina y Computación</v>
      </c>
      <c r="H225" s="5">
        <f>'GASTOS CONSOLIDADO'!G227</f>
        <v>0</v>
      </c>
      <c r="I225" s="5">
        <f>'GASTOS CONSOLIDADO'!H227</f>
        <v>0</v>
      </c>
      <c r="J225" s="5">
        <f>H225+I225</f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/>
      <c r="S225" s="5"/>
      <c r="T225" s="5">
        <f t="shared" si="55"/>
        <v>0</v>
      </c>
      <c r="U225" s="7">
        <f>J225-T225</f>
        <v>0</v>
      </c>
      <c r="V225" s="5">
        <v>0</v>
      </c>
      <c r="W225" s="5">
        <f>+T225-V225</f>
        <v>0</v>
      </c>
    </row>
    <row r="226" spans="1:23" s="98" customFormat="1" ht="13.5" hidden="1">
      <c r="A226" s="77"/>
      <c r="B226" s="103"/>
      <c r="C226" s="103"/>
      <c r="D226" s="100"/>
      <c r="E226" s="2"/>
      <c r="F226" s="2"/>
      <c r="G226" s="11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>
        <f t="shared" si="55"/>
        <v>0</v>
      </c>
      <c r="U226" s="7"/>
      <c r="V226" s="5"/>
      <c r="W226" s="5"/>
    </row>
    <row r="227" spans="1:23" s="83" customFormat="1" ht="13.5" hidden="1">
      <c r="A227" s="77"/>
      <c r="B227" s="104"/>
      <c r="C227" s="104"/>
      <c r="D227" s="101"/>
      <c r="E227" s="17"/>
      <c r="F227" s="17"/>
      <c r="G227" s="139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>
        <f t="shared" si="55"/>
        <v>0</v>
      </c>
      <c r="U227" s="30"/>
      <c r="V227" s="21"/>
      <c r="W227" s="21"/>
    </row>
    <row r="228" spans="1:23" s="98" customFormat="1" ht="13.5" hidden="1">
      <c r="A228" s="77"/>
      <c r="B228" s="102"/>
      <c r="C228" s="102">
        <f>'GASTOS CONSOLIDADO'!B230</f>
        <v>570</v>
      </c>
      <c r="D228" s="43"/>
      <c r="E228" s="1"/>
      <c r="F228" s="1"/>
      <c r="G228" s="114" t="str">
        <f>'GASTOS CONSOLIDADO'!F230</f>
        <v>Adquisición de Activos Intangibles</v>
      </c>
      <c r="H228" s="3">
        <f aca="true" t="shared" si="60" ref="H228:N228">SUM(H229:H231)</f>
        <v>0</v>
      </c>
      <c r="I228" s="3">
        <f t="shared" si="60"/>
        <v>0</v>
      </c>
      <c r="J228" s="3">
        <f t="shared" si="60"/>
        <v>0</v>
      </c>
      <c r="K228" s="3">
        <f t="shared" si="60"/>
        <v>0</v>
      </c>
      <c r="L228" s="3">
        <f t="shared" si="60"/>
        <v>0</v>
      </c>
      <c r="M228" s="3">
        <f t="shared" si="60"/>
        <v>0</v>
      </c>
      <c r="N228" s="3">
        <f t="shared" si="60"/>
        <v>0</v>
      </c>
      <c r="O228" s="3">
        <f>SUM(O229:O231)</f>
        <v>0</v>
      </c>
      <c r="P228" s="3">
        <f aca="true" t="shared" si="61" ref="P228:W228">SUM(P229:P231)</f>
        <v>0</v>
      </c>
      <c r="Q228" s="3">
        <f t="shared" si="61"/>
        <v>0</v>
      </c>
      <c r="R228" s="3"/>
      <c r="S228" s="3"/>
      <c r="T228" s="3">
        <f t="shared" si="55"/>
        <v>0</v>
      </c>
      <c r="U228" s="6">
        <f t="shared" si="61"/>
        <v>0</v>
      </c>
      <c r="V228" s="3">
        <f t="shared" si="61"/>
        <v>0</v>
      </c>
      <c r="W228" s="3">
        <f t="shared" si="61"/>
        <v>0</v>
      </c>
    </row>
    <row r="229" spans="1:23" s="98" customFormat="1" ht="13.5" hidden="1">
      <c r="A229" s="77"/>
      <c r="B229" s="103"/>
      <c r="C229" s="103"/>
      <c r="D229" s="100"/>
      <c r="E229" s="2"/>
      <c r="F229" s="2"/>
      <c r="G229" s="11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>
        <f t="shared" si="55"/>
        <v>0</v>
      </c>
      <c r="U229" s="7"/>
      <c r="V229" s="5"/>
      <c r="W229" s="5"/>
    </row>
    <row r="230" spans="1:23" s="98" customFormat="1" ht="13.5" hidden="1">
      <c r="A230" s="77"/>
      <c r="B230" s="103"/>
      <c r="C230" s="103"/>
      <c r="D230" s="100"/>
      <c r="E230" s="2"/>
      <c r="F230" s="2"/>
      <c r="G230" s="11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>
        <f t="shared" si="55"/>
        <v>0</v>
      </c>
      <c r="U230" s="7"/>
      <c r="V230" s="5"/>
      <c r="W230" s="5"/>
    </row>
    <row r="231" spans="1:23" s="83" customFormat="1" ht="13.5" hidden="1">
      <c r="A231" s="77"/>
      <c r="B231" s="104"/>
      <c r="C231" s="104"/>
      <c r="D231" s="101"/>
      <c r="E231" s="17"/>
      <c r="F231" s="17"/>
      <c r="G231" s="139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>
        <f t="shared" si="55"/>
        <v>0</v>
      </c>
      <c r="U231" s="30"/>
      <c r="V231" s="21"/>
      <c r="W231" s="21"/>
    </row>
    <row r="232" spans="1:23" s="98" customFormat="1" ht="13.5" hidden="1">
      <c r="A232" s="77"/>
      <c r="B232" s="102"/>
      <c r="C232" s="102">
        <f>'GASTOS CONSOLIDADO'!B234</f>
        <v>580</v>
      </c>
      <c r="D232" s="43"/>
      <c r="E232" s="1"/>
      <c r="F232" s="1"/>
      <c r="G232" s="114" t="str">
        <f>'GASTOS CONSOLIDADO'!F234</f>
        <v>Estudios de Proyectos de Inversión</v>
      </c>
      <c r="H232" s="3">
        <f aca="true" t="shared" si="62" ref="H232:N232">H233</f>
        <v>0</v>
      </c>
      <c r="I232" s="3">
        <f t="shared" si="62"/>
        <v>0</v>
      </c>
      <c r="J232" s="3">
        <f t="shared" si="62"/>
        <v>0</v>
      </c>
      <c r="K232" s="3">
        <f t="shared" si="62"/>
        <v>0</v>
      </c>
      <c r="L232" s="3">
        <f t="shared" si="62"/>
        <v>0</v>
      </c>
      <c r="M232" s="3">
        <f t="shared" si="62"/>
        <v>0</v>
      </c>
      <c r="N232" s="3">
        <f t="shared" si="62"/>
        <v>0</v>
      </c>
      <c r="O232" s="3">
        <f aca="true" t="shared" si="63" ref="O232:W232">O233</f>
        <v>0</v>
      </c>
      <c r="P232" s="3">
        <f t="shared" si="63"/>
        <v>0</v>
      </c>
      <c r="Q232" s="3">
        <f t="shared" si="63"/>
        <v>0</v>
      </c>
      <c r="R232" s="3"/>
      <c r="S232" s="3"/>
      <c r="T232" s="3">
        <f t="shared" si="55"/>
        <v>0</v>
      </c>
      <c r="U232" s="6">
        <f t="shared" si="63"/>
        <v>0</v>
      </c>
      <c r="V232" s="3">
        <f t="shared" si="63"/>
        <v>0</v>
      </c>
      <c r="W232" s="3">
        <f t="shared" si="63"/>
        <v>0</v>
      </c>
    </row>
    <row r="233" spans="1:23" s="98" customFormat="1" ht="13.5" hidden="1">
      <c r="A233" s="77"/>
      <c r="B233" s="103"/>
      <c r="C233" s="103"/>
      <c r="D233" s="100"/>
      <c r="E233" s="2"/>
      <c r="F233" s="2"/>
      <c r="G233" s="11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>
        <f t="shared" si="55"/>
        <v>0</v>
      </c>
      <c r="U233" s="7"/>
      <c r="V233" s="5"/>
      <c r="W233" s="5"/>
    </row>
    <row r="234" spans="1:23" s="83" customFormat="1" ht="13.5" hidden="1">
      <c r="A234" s="77"/>
      <c r="B234" s="104"/>
      <c r="C234" s="104"/>
      <c r="D234" s="101"/>
      <c r="E234" s="17"/>
      <c r="F234" s="17"/>
      <c r="G234" s="139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>
        <f t="shared" si="55"/>
        <v>0</v>
      </c>
      <c r="U234" s="30"/>
      <c r="V234" s="21"/>
      <c r="W234" s="21"/>
    </row>
    <row r="235" spans="1:23" s="98" customFormat="1" ht="13.5" hidden="1">
      <c r="A235" s="77"/>
      <c r="B235" s="102"/>
      <c r="C235" s="102">
        <f>'GASTOS CONSOLIDADO'!B237</f>
        <v>590</v>
      </c>
      <c r="D235" s="43"/>
      <c r="E235" s="1"/>
      <c r="F235" s="1"/>
      <c r="G235" s="114" t="str">
        <f>'GASTOS CONSOLIDADO'!F237</f>
        <v>Otros Gastos de Inversiones Mayores</v>
      </c>
      <c r="H235" s="3">
        <f aca="true" t="shared" si="64" ref="H235:O235">SUM(H236:H237)</f>
        <v>0</v>
      </c>
      <c r="I235" s="3">
        <f t="shared" si="64"/>
        <v>0</v>
      </c>
      <c r="J235" s="3">
        <f t="shared" si="64"/>
        <v>0</v>
      </c>
      <c r="K235" s="3">
        <f t="shared" si="64"/>
        <v>0</v>
      </c>
      <c r="L235" s="3">
        <f t="shared" si="64"/>
        <v>0</v>
      </c>
      <c r="M235" s="3">
        <f t="shared" si="64"/>
        <v>0</v>
      </c>
      <c r="N235" s="3">
        <f t="shared" si="64"/>
        <v>0</v>
      </c>
      <c r="O235" s="3">
        <f t="shared" si="64"/>
        <v>0</v>
      </c>
      <c r="P235" s="3">
        <f aca="true" t="shared" si="65" ref="P235:W235">SUM(P236:P237)</f>
        <v>0</v>
      </c>
      <c r="Q235" s="3">
        <f t="shared" si="65"/>
        <v>0</v>
      </c>
      <c r="R235" s="3"/>
      <c r="S235" s="3"/>
      <c r="T235" s="3">
        <f t="shared" si="55"/>
        <v>0</v>
      </c>
      <c r="U235" s="6">
        <f t="shared" si="65"/>
        <v>0</v>
      </c>
      <c r="V235" s="3">
        <f t="shared" si="65"/>
        <v>0</v>
      </c>
      <c r="W235" s="3">
        <f t="shared" si="65"/>
        <v>0</v>
      </c>
    </row>
    <row r="236" spans="1:23" s="98" customFormat="1" ht="13.5" hidden="1">
      <c r="A236" s="77"/>
      <c r="B236" s="103"/>
      <c r="C236" s="103"/>
      <c r="D236" s="100"/>
      <c r="E236" s="2"/>
      <c r="F236" s="2"/>
      <c r="G236" s="11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>
        <f t="shared" si="55"/>
        <v>0</v>
      </c>
      <c r="U236" s="7"/>
      <c r="V236" s="5"/>
      <c r="W236" s="5"/>
    </row>
    <row r="237" spans="1:23" s="98" customFormat="1" ht="13.5" hidden="1">
      <c r="A237" s="77"/>
      <c r="B237" s="103"/>
      <c r="C237" s="103"/>
      <c r="D237" s="100"/>
      <c r="E237" s="2"/>
      <c r="F237" s="2"/>
      <c r="G237" s="11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>
        <f t="shared" si="55"/>
        <v>0</v>
      </c>
      <c r="U237" s="7"/>
      <c r="V237" s="5"/>
      <c r="W237" s="5"/>
    </row>
    <row r="238" spans="1:23" s="83" customFormat="1" ht="13.5" hidden="1">
      <c r="A238" s="77"/>
      <c r="B238" s="104"/>
      <c r="C238" s="104"/>
      <c r="D238" s="101"/>
      <c r="E238" s="17"/>
      <c r="F238" s="17"/>
      <c r="G238" s="139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>
        <f t="shared" si="55"/>
        <v>0</v>
      </c>
      <c r="U238" s="30"/>
      <c r="V238" s="21"/>
      <c r="W238" s="21"/>
    </row>
    <row r="239" spans="1:23" s="98" customFormat="1" ht="13.5" hidden="1">
      <c r="A239" s="77"/>
      <c r="B239" s="43">
        <f>'GASTOS CONSOLIDADO'!A241</f>
        <v>700</v>
      </c>
      <c r="C239" s="100"/>
      <c r="D239" s="100"/>
      <c r="E239" s="2"/>
      <c r="F239" s="2"/>
      <c r="G239" s="114" t="str">
        <f>'GASTOS CONSOLIDADO'!F241</f>
        <v>SERVICIO DE LA DEUDA PÚBLICA</v>
      </c>
      <c r="H239" s="3">
        <f>'GASTOS CONSOLIDADO'!G241</f>
        <v>0</v>
      </c>
      <c r="I239" s="3">
        <f>'GASTOS CONSOLIDADO'!H241</f>
        <v>0</v>
      </c>
      <c r="J239" s="3">
        <f aca="true" t="shared" si="66" ref="J239:O241">J240</f>
        <v>0</v>
      </c>
      <c r="K239" s="3">
        <f t="shared" si="66"/>
        <v>0</v>
      </c>
      <c r="L239" s="3">
        <f t="shared" si="66"/>
        <v>0</v>
      </c>
      <c r="M239" s="3">
        <f t="shared" si="66"/>
        <v>0</v>
      </c>
      <c r="N239" s="3">
        <f t="shared" si="66"/>
        <v>0</v>
      </c>
      <c r="O239" s="3">
        <f t="shared" si="66"/>
        <v>0</v>
      </c>
      <c r="P239" s="3">
        <f aca="true" t="shared" si="67" ref="P239:Q241">P240</f>
        <v>0</v>
      </c>
      <c r="Q239" s="3">
        <f t="shared" si="67"/>
        <v>0</v>
      </c>
      <c r="R239" s="3"/>
      <c r="S239" s="3"/>
      <c r="T239" s="3">
        <f t="shared" si="55"/>
        <v>0</v>
      </c>
      <c r="U239" s="6">
        <f aca="true" t="shared" si="68" ref="U239:W241">U240</f>
        <v>0</v>
      </c>
      <c r="V239" s="3">
        <f t="shared" si="68"/>
        <v>0</v>
      </c>
      <c r="W239" s="3">
        <f t="shared" si="68"/>
        <v>0</v>
      </c>
    </row>
    <row r="240" spans="1:23" s="98" customFormat="1" ht="13.5" hidden="1">
      <c r="A240" s="77"/>
      <c r="B240" s="103"/>
      <c r="C240" s="102">
        <f>'GASTOS CONSOLIDADO'!B242</f>
        <v>730</v>
      </c>
      <c r="D240" s="100"/>
      <c r="E240" s="2"/>
      <c r="F240" s="2"/>
      <c r="G240" s="114" t="str">
        <f>'GASTOS CONSOLIDADO'!F242</f>
        <v>Amortización de la Deuda Pública Interna</v>
      </c>
      <c r="H240" s="3">
        <f>'GASTOS CONSOLIDADO'!G242</f>
        <v>0</v>
      </c>
      <c r="I240" s="3">
        <f>'GASTOS CONSOLIDADO'!H242</f>
        <v>0</v>
      </c>
      <c r="J240" s="3">
        <f t="shared" si="66"/>
        <v>0</v>
      </c>
      <c r="K240" s="3">
        <f t="shared" si="66"/>
        <v>0</v>
      </c>
      <c r="L240" s="3">
        <f t="shared" si="66"/>
        <v>0</v>
      </c>
      <c r="M240" s="3">
        <f t="shared" si="66"/>
        <v>0</v>
      </c>
      <c r="N240" s="3">
        <f t="shared" si="66"/>
        <v>0</v>
      </c>
      <c r="O240" s="3">
        <f t="shared" si="66"/>
        <v>0</v>
      </c>
      <c r="P240" s="3">
        <f t="shared" si="67"/>
        <v>0</v>
      </c>
      <c r="Q240" s="3">
        <f t="shared" si="67"/>
        <v>0</v>
      </c>
      <c r="R240" s="3"/>
      <c r="S240" s="3"/>
      <c r="T240" s="3">
        <f t="shared" si="55"/>
        <v>0</v>
      </c>
      <c r="U240" s="6">
        <f t="shared" si="68"/>
        <v>0</v>
      </c>
      <c r="V240" s="3">
        <f t="shared" si="68"/>
        <v>0</v>
      </c>
      <c r="W240" s="3">
        <f t="shared" si="68"/>
        <v>0</v>
      </c>
    </row>
    <row r="241" spans="1:23" s="98" customFormat="1" ht="13.5" hidden="1">
      <c r="A241" s="77"/>
      <c r="B241" s="43"/>
      <c r="C241" s="43"/>
      <c r="D241" s="43">
        <f>'GASTOS CONSOLIDADO'!C243</f>
        <v>733</v>
      </c>
      <c r="E241" s="1"/>
      <c r="F241" s="1"/>
      <c r="G241" s="114" t="str">
        <f>'GASTOS CONSOLIDADO'!F243</f>
        <v>Amortización de la Deuda con el Sector Privado</v>
      </c>
      <c r="H241" s="107">
        <f>'GASTOS CONSOLIDADO'!G243</f>
        <v>0</v>
      </c>
      <c r="I241" s="107">
        <f>'GASTOS CONSOLIDADO'!H243</f>
        <v>0</v>
      </c>
      <c r="J241" s="107">
        <f t="shared" si="66"/>
        <v>0</v>
      </c>
      <c r="K241" s="107">
        <f t="shared" si="66"/>
        <v>0</v>
      </c>
      <c r="L241" s="107">
        <f t="shared" si="66"/>
        <v>0</v>
      </c>
      <c r="M241" s="107">
        <f t="shared" si="66"/>
        <v>0</v>
      </c>
      <c r="N241" s="107">
        <f t="shared" si="66"/>
        <v>0</v>
      </c>
      <c r="O241" s="107">
        <f t="shared" si="66"/>
        <v>0</v>
      </c>
      <c r="P241" s="107">
        <f t="shared" si="67"/>
        <v>0</v>
      </c>
      <c r="Q241" s="107">
        <f t="shared" si="67"/>
        <v>0</v>
      </c>
      <c r="R241" s="107"/>
      <c r="S241" s="107"/>
      <c r="T241" s="107">
        <f t="shared" si="55"/>
        <v>0</v>
      </c>
      <c r="U241" s="140">
        <f t="shared" si="68"/>
        <v>0</v>
      </c>
      <c r="V241" s="107">
        <f t="shared" si="68"/>
        <v>0</v>
      </c>
      <c r="W241" s="107">
        <f t="shared" si="68"/>
        <v>0</v>
      </c>
    </row>
    <row r="242" spans="1:23" s="98" customFormat="1" ht="13.5" hidden="1">
      <c r="A242" s="77"/>
      <c r="B242" s="100"/>
      <c r="C242" s="100"/>
      <c r="D242" s="100"/>
      <c r="E242" s="2"/>
      <c r="F242" s="2"/>
      <c r="G242" s="11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>
        <f t="shared" si="55"/>
        <v>0</v>
      </c>
      <c r="U242" s="7"/>
      <c r="V242" s="5"/>
      <c r="W242" s="5"/>
    </row>
    <row r="243" spans="1:23" s="83" customFormat="1" ht="13.5" hidden="1">
      <c r="A243" s="77"/>
      <c r="B243" s="104"/>
      <c r="C243" s="104"/>
      <c r="D243" s="101"/>
      <c r="E243" s="17"/>
      <c r="F243" s="17"/>
      <c r="G243" s="139"/>
      <c r="H243" s="21">
        <f>'GASTOS CONSOLIDADO'!G245</f>
        <v>0</v>
      </c>
      <c r="I243" s="21">
        <f>'GASTOS CONSOLIDADO'!H245</f>
        <v>0</v>
      </c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>
        <f t="shared" si="55"/>
        <v>0</v>
      </c>
      <c r="U243" s="30"/>
      <c r="V243" s="21"/>
      <c r="W243" s="21"/>
    </row>
    <row r="244" spans="1:23" s="98" customFormat="1" ht="13.5" hidden="1">
      <c r="A244" s="77"/>
      <c r="B244" s="43">
        <f>'GASTOS CONSOLIDADO'!A246</f>
        <v>800</v>
      </c>
      <c r="C244" s="100"/>
      <c r="D244" s="100"/>
      <c r="E244" s="2"/>
      <c r="F244" s="2"/>
      <c r="G244" s="114" t="str">
        <f>'GASTOS CONSOLIDADO'!F246</f>
        <v>TRANSFERENCIAS</v>
      </c>
      <c r="H244" s="3">
        <f aca="true" t="shared" si="69" ref="H244:O244">H245+H252</f>
        <v>0</v>
      </c>
      <c r="I244" s="3">
        <f t="shared" si="69"/>
        <v>0</v>
      </c>
      <c r="J244" s="3">
        <f t="shared" si="69"/>
        <v>0</v>
      </c>
      <c r="K244" s="3" t="e">
        <f t="shared" si="69"/>
        <v>#REF!</v>
      </c>
      <c r="L244" s="3" t="e">
        <f t="shared" si="69"/>
        <v>#REF!</v>
      </c>
      <c r="M244" s="3" t="e">
        <f t="shared" si="69"/>
        <v>#REF!</v>
      </c>
      <c r="N244" s="3" t="e">
        <f t="shared" si="69"/>
        <v>#REF!</v>
      </c>
      <c r="O244" s="3" t="e">
        <f t="shared" si="69"/>
        <v>#REF!</v>
      </c>
      <c r="P244" s="3" t="e">
        <f aca="true" t="shared" si="70" ref="P244:W244">P245+P252</f>
        <v>#REF!</v>
      </c>
      <c r="Q244" s="3" t="e">
        <f t="shared" si="70"/>
        <v>#REF!</v>
      </c>
      <c r="R244" s="3"/>
      <c r="S244" s="3"/>
      <c r="T244" s="3" t="e">
        <f t="shared" si="55"/>
        <v>#REF!</v>
      </c>
      <c r="U244" s="6" t="e">
        <f t="shared" si="70"/>
        <v>#REF!</v>
      </c>
      <c r="V244" s="3" t="e">
        <f t="shared" si="70"/>
        <v>#REF!</v>
      </c>
      <c r="W244" s="3" t="e">
        <f t="shared" si="70"/>
        <v>#REF!</v>
      </c>
    </row>
    <row r="245" spans="1:23" s="98" customFormat="1" ht="13.5" hidden="1">
      <c r="A245" s="77"/>
      <c r="B245" s="103"/>
      <c r="C245" s="102">
        <f>'GASTOS CONSOLIDADO'!B247</f>
        <v>870</v>
      </c>
      <c r="D245" s="100"/>
      <c r="E245" s="2"/>
      <c r="F245" s="2"/>
      <c r="G245" s="114" t="str">
        <f>'GASTOS CONSOLIDADO'!F247</f>
        <v>Transferencias de Capital al Sector Privado</v>
      </c>
      <c r="H245" s="107">
        <f aca="true" t="shared" si="71" ref="H245:N245">H246</f>
        <v>0</v>
      </c>
      <c r="I245" s="107">
        <f t="shared" si="71"/>
        <v>0</v>
      </c>
      <c r="J245" s="107">
        <f t="shared" si="71"/>
        <v>0</v>
      </c>
      <c r="K245" s="107" t="e">
        <f t="shared" si="71"/>
        <v>#REF!</v>
      </c>
      <c r="L245" s="107" t="e">
        <f t="shared" si="71"/>
        <v>#REF!</v>
      </c>
      <c r="M245" s="107" t="e">
        <f t="shared" si="71"/>
        <v>#REF!</v>
      </c>
      <c r="N245" s="107" t="e">
        <f t="shared" si="71"/>
        <v>#REF!</v>
      </c>
      <c r="O245" s="107" t="e">
        <f aca="true" t="shared" si="72" ref="O245:W245">O246</f>
        <v>#REF!</v>
      </c>
      <c r="P245" s="107" t="e">
        <f t="shared" si="72"/>
        <v>#REF!</v>
      </c>
      <c r="Q245" s="107" t="e">
        <f t="shared" si="72"/>
        <v>#REF!</v>
      </c>
      <c r="R245" s="107"/>
      <c r="S245" s="107"/>
      <c r="T245" s="107" t="e">
        <f t="shared" si="55"/>
        <v>#REF!</v>
      </c>
      <c r="U245" s="140" t="e">
        <f t="shared" si="72"/>
        <v>#REF!</v>
      </c>
      <c r="V245" s="107" t="e">
        <f t="shared" si="72"/>
        <v>#REF!</v>
      </c>
      <c r="W245" s="107" t="e">
        <f t="shared" si="72"/>
        <v>#REF!</v>
      </c>
    </row>
    <row r="246" spans="1:23" s="98" customFormat="1" ht="13.5" hidden="1">
      <c r="A246" s="77"/>
      <c r="B246" s="43"/>
      <c r="C246" s="43"/>
      <c r="D246" s="43">
        <f>'GASTOS CONSOLIDADO'!C248</f>
        <v>871</v>
      </c>
      <c r="E246" s="1"/>
      <c r="F246" s="1"/>
      <c r="G246" s="114" t="str">
        <f>'GASTOS CONSOLIDADO'!F248</f>
        <v>Transferencias de Capital al Sector Privado, Varias</v>
      </c>
      <c r="H246" s="107">
        <f aca="true" t="shared" si="73" ref="H246:O246">SUM(H247:H250)</f>
        <v>0</v>
      </c>
      <c r="I246" s="107">
        <f t="shared" si="73"/>
        <v>0</v>
      </c>
      <c r="J246" s="107">
        <f t="shared" si="73"/>
        <v>0</v>
      </c>
      <c r="K246" s="107" t="e">
        <f t="shared" si="73"/>
        <v>#REF!</v>
      </c>
      <c r="L246" s="107" t="e">
        <f t="shared" si="73"/>
        <v>#REF!</v>
      </c>
      <c r="M246" s="107" t="e">
        <f t="shared" si="73"/>
        <v>#REF!</v>
      </c>
      <c r="N246" s="107" t="e">
        <f t="shared" si="73"/>
        <v>#REF!</v>
      </c>
      <c r="O246" s="107" t="e">
        <f t="shared" si="73"/>
        <v>#REF!</v>
      </c>
      <c r="P246" s="107" t="e">
        <f aca="true" t="shared" si="74" ref="P246:W246">SUM(P247:P250)</f>
        <v>#REF!</v>
      </c>
      <c r="Q246" s="107" t="e">
        <f t="shared" si="74"/>
        <v>#REF!</v>
      </c>
      <c r="R246" s="107"/>
      <c r="S246" s="107"/>
      <c r="T246" s="107" t="e">
        <f t="shared" si="55"/>
        <v>#REF!</v>
      </c>
      <c r="U246" s="140" t="e">
        <f t="shared" si="74"/>
        <v>#REF!</v>
      </c>
      <c r="V246" s="107" t="e">
        <f t="shared" si="74"/>
        <v>#REF!</v>
      </c>
      <c r="W246" s="107" t="e">
        <f t="shared" si="74"/>
        <v>#REF!</v>
      </c>
    </row>
    <row r="247" spans="1:23" s="98" customFormat="1" ht="13.5" hidden="1">
      <c r="A247" s="77"/>
      <c r="B247" s="100"/>
      <c r="C247" s="100"/>
      <c r="D247" s="100"/>
      <c r="E247" s="2"/>
      <c r="F247" s="2"/>
      <c r="G247" s="11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>
        <f t="shared" si="55"/>
        <v>0</v>
      </c>
      <c r="U247" s="7"/>
      <c r="V247" s="5"/>
      <c r="W247" s="5"/>
    </row>
    <row r="248" spans="1:23" s="98" customFormat="1" ht="13.5" hidden="1">
      <c r="A248" s="77"/>
      <c r="B248" s="100"/>
      <c r="C248" s="100"/>
      <c r="D248" s="100"/>
      <c r="E248" s="2"/>
      <c r="F248" s="2"/>
      <c r="G248" s="11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>
        <f t="shared" si="55"/>
        <v>0</v>
      </c>
      <c r="U248" s="7"/>
      <c r="V248" s="5"/>
      <c r="W248" s="5"/>
    </row>
    <row r="249" spans="1:23" s="98" customFormat="1" ht="20.25" hidden="1">
      <c r="A249" s="77"/>
      <c r="B249" s="100"/>
      <c r="C249" s="100"/>
      <c r="D249" s="100">
        <f>'GASTOS CONSOLIDADO'!C251</f>
        <v>874</v>
      </c>
      <c r="E249" s="2" t="str">
        <f>'GASTOS CONSOLIDADO'!D251</f>
        <v>30</v>
      </c>
      <c r="F249" s="2" t="str">
        <f>'GASTOS CONSOLIDADO'!E251</f>
        <v>003</v>
      </c>
      <c r="G249" s="115" t="str">
        <f>'GASTOS CONSOLIDADO'!F251</f>
        <v>Transferencias y Subsidios a Entidades Educativas e Intituciones sin fines de Lucro</v>
      </c>
      <c r="H249" s="5">
        <f>'GASTOS CONSOLIDADO'!G251</f>
        <v>0</v>
      </c>
      <c r="I249" s="5">
        <f>'GASTOS CONSOLIDADO'!H251</f>
        <v>0</v>
      </c>
      <c r="J249" s="5">
        <f>H249+I249</f>
        <v>0</v>
      </c>
      <c r="K249" s="5" t="e">
        <f>#REF!</f>
        <v>#REF!</v>
      </c>
      <c r="L249" s="5" t="e">
        <f>#REF!</f>
        <v>#REF!</v>
      </c>
      <c r="M249" s="5" t="e">
        <f>#REF!</f>
        <v>#REF!</v>
      </c>
      <c r="N249" s="5" t="e">
        <f>#REF!</f>
        <v>#REF!</v>
      </c>
      <c r="O249" s="5" t="e">
        <f>#REF!+#REF!+#REF!</f>
        <v>#REF!</v>
      </c>
      <c r="P249" s="5" t="e">
        <f>#REF!</f>
        <v>#REF!</v>
      </c>
      <c r="Q249" s="5" t="e">
        <f>#REF!</f>
        <v>#REF!</v>
      </c>
      <c r="R249" s="5"/>
      <c r="S249" s="5"/>
      <c r="T249" s="5" t="e">
        <f t="shared" si="55"/>
        <v>#REF!</v>
      </c>
      <c r="U249" s="7" t="e">
        <f>J249-T249</f>
        <v>#REF!</v>
      </c>
      <c r="V249" s="5" t="e">
        <f>T249-W249</f>
        <v>#REF!</v>
      </c>
      <c r="W249" s="5" t="e">
        <f>#REF!+#REF!+#REF!+#REF!+#REF!+#REF!+#REF!+#REF!+#REF!+#REF!+#REF!+#REF!</f>
        <v>#REF!</v>
      </c>
    </row>
    <row r="250" spans="1:23" s="98" customFormat="1" ht="13.5" hidden="1">
      <c r="A250" s="77"/>
      <c r="B250" s="100"/>
      <c r="C250" s="100"/>
      <c r="D250" s="100"/>
      <c r="E250" s="2"/>
      <c r="F250" s="2"/>
      <c r="G250" s="11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>
        <f t="shared" si="55"/>
        <v>0</v>
      </c>
      <c r="U250" s="7"/>
      <c r="V250" s="5"/>
      <c r="W250" s="5"/>
    </row>
    <row r="251" spans="1:23" s="83" customFormat="1" ht="13.5" hidden="1">
      <c r="A251" s="77"/>
      <c r="B251" s="101"/>
      <c r="C251" s="101"/>
      <c r="D251" s="101"/>
      <c r="E251" s="17"/>
      <c r="F251" s="17"/>
      <c r="G251" s="139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>
        <f t="shared" si="55"/>
        <v>0</v>
      </c>
      <c r="U251" s="30"/>
      <c r="V251" s="21"/>
      <c r="W251" s="21"/>
    </row>
    <row r="252" spans="1:23" s="98" customFormat="1" ht="20.25" hidden="1">
      <c r="A252" s="77"/>
      <c r="B252" s="103"/>
      <c r="C252" s="102">
        <f>'GASTOS CONSOLIDADO'!B254</f>
        <v>890</v>
      </c>
      <c r="D252" s="100"/>
      <c r="E252" s="2"/>
      <c r="F252" s="2"/>
      <c r="G252" s="114" t="str">
        <f>'GASTOS CONSOLIDADO'!F254</f>
        <v>Otras Transferencias de Capital al Sector Público o Privado</v>
      </c>
      <c r="H252" s="107">
        <f aca="true" t="shared" si="75" ref="H252:N252">H253</f>
        <v>0</v>
      </c>
      <c r="I252" s="107">
        <f t="shared" si="75"/>
        <v>0</v>
      </c>
      <c r="J252" s="107">
        <f t="shared" si="75"/>
        <v>0</v>
      </c>
      <c r="K252" s="107">
        <f t="shared" si="75"/>
        <v>0</v>
      </c>
      <c r="L252" s="107">
        <f t="shared" si="75"/>
        <v>0</v>
      </c>
      <c r="M252" s="107">
        <f t="shared" si="75"/>
        <v>0</v>
      </c>
      <c r="N252" s="107">
        <f t="shared" si="75"/>
        <v>0</v>
      </c>
      <c r="O252" s="107">
        <f aca="true" t="shared" si="76" ref="O252:W252">O253</f>
        <v>0</v>
      </c>
      <c r="P252" s="107">
        <f t="shared" si="76"/>
        <v>0</v>
      </c>
      <c r="Q252" s="107">
        <f t="shared" si="76"/>
        <v>0</v>
      </c>
      <c r="R252" s="107"/>
      <c r="S252" s="107"/>
      <c r="T252" s="107">
        <f t="shared" si="55"/>
        <v>0</v>
      </c>
      <c r="U252" s="140">
        <f t="shared" si="76"/>
        <v>0</v>
      </c>
      <c r="V252" s="107">
        <f t="shared" si="76"/>
        <v>0</v>
      </c>
      <c r="W252" s="107">
        <f t="shared" si="76"/>
        <v>0</v>
      </c>
    </row>
    <row r="253" spans="1:23" s="98" customFormat="1" ht="13.5" hidden="1">
      <c r="A253" s="77"/>
      <c r="B253" s="100"/>
      <c r="C253" s="100"/>
      <c r="D253" s="100"/>
      <c r="E253" s="2"/>
      <c r="F253" s="2"/>
      <c r="G253" s="11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>
        <f t="shared" si="55"/>
        <v>0</v>
      </c>
      <c r="U253" s="7"/>
      <c r="V253" s="5"/>
      <c r="W253" s="5"/>
    </row>
    <row r="254" spans="1:23" s="83" customFormat="1" ht="13.5" hidden="1">
      <c r="A254" s="77"/>
      <c r="B254" s="101"/>
      <c r="C254" s="101"/>
      <c r="D254" s="101"/>
      <c r="E254" s="17"/>
      <c r="F254" s="17"/>
      <c r="G254" s="139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>
        <f t="shared" si="55"/>
        <v>0</v>
      </c>
      <c r="U254" s="30"/>
      <c r="V254" s="21"/>
      <c r="W254" s="21"/>
    </row>
    <row r="255" spans="1:23" s="98" customFormat="1" ht="13.5" hidden="1">
      <c r="A255" s="77"/>
      <c r="B255" s="43">
        <f>'GASTOS CONSOLIDADO'!A257</f>
        <v>900</v>
      </c>
      <c r="C255" s="100"/>
      <c r="D255" s="100"/>
      <c r="E255" s="2"/>
      <c r="F255" s="2"/>
      <c r="G255" s="114" t="str">
        <f>'GASTOS CONSOLIDADO'!F257</f>
        <v>OTROS GASTOS</v>
      </c>
      <c r="H255" s="3">
        <f aca="true" t="shared" si="77" ref="H255:N255">H256</f>
        <v>0</v>
      </c>
      <c r="I255" s="3">
        <f t="shared" si="77"/>
        <v>0</v>
      </c>
      <c r="J255" s="3">
        <f t="shared" si="77"/>
        <v>0</v>
      </c>
      <c r="K255" s="3">
        <f t="shared" si="77"/>
        <v>0</v>
      </c>
      <c r="L255" s="3">
        <f t="shared" si="77"/>
        <v>0</v>
      </c>
      <c r="M255" s="3">
        <f t="shared" si="77"/>
        <v>0</v>
      </c>
      <c r="N255" s="3">
        <f t="shared" si="77"/>
        <v>0</v>
      </c>
      <c r="O255" s="3">
        <f aca="true" t="shared" si="78" ref="O255:W255">O256</f>
        <v>0</v>
      </c>
      <c r="P255" s="3">
        <f t="shared" si="78"/>
        <v>0</v>
      </c>
      <c r="Q255" s="3">
        <f t="shared" si="78"/>
        <v>0</v>
      </c>
      <c r="R255" s="3"/>
      <c r="S255" s="3"/>
      <c r="T255" s="3">
        <f t="shared" si="55"/>
        <v>0</v>
      </c>
      <c r="U255" s="6">
        <f t="shared" si="78"/>
        <v>0</v>
      </c>
      <c r="V255" s="3">
        <f t="shared" si="78"/>
        <v>0</v>
      </c>
      <c r="W255" s="3">
        <f t="shared" si="78"/>
        <v>0</v>
      </c>
    </row>
    <row r="256" spans="1:23" s="98" customFormat="1" ht="20.25" hidden="1">
      <c r="A256" s="77"/>
      <c r="B256" s="100"/>
      <c r="C256" s="43">
        <f>'GASTOS CONSOLIDADO'!B258</f>
        <v>980</v>
      </c>
      <c r="D256" s="100"/>
      <c r="E256" s="2"/>
      <c r="F256" s="2"/>
      <c r="G256" s="114" t="str">
        <f>'GASTOS CONSOLIDADO'!F258</f>
        <v>Deudas Pend. de Pago de Gastos de Capital de Ejerc. Anter.</v>
      </c>
      <c r="H256" s="107">
        <f aca="true" t="shared" si="79" ref="H256:N256">SUM(H257:H260)</f>
        <v>0</v>
      </c>
      <c r="I256" s="107">
        <f t="shared" si="79"/>
        <v>0</v>
      </c>
      <c r="J256" s="107">
        <f t="shared" si="79"/>
        <v>0</v>
      </c>
      <c r="K256" s="107">
        <f t="shared" si="79"/>
        <v>0</v>
      </c>
      <c r="L256" s="107">
        <f t="shared" si="79"/>
        <v>0</v>
      </c>
      <c r="M256" s="107">
        <f t="shared" si="79"/>
        <v>0</v>
      </c>
      <c r="N256" s="107">
        <f t="shared" si="79"/>
        <v>0</v>
      </c>
      <c r="O256" s="107">
        <f>SUM(O257:O260)</f>
        <v>0</v>
      </c>
      <c r="P256" s="107">
        <f aca="true" t="shared" si="80" ref="P256:W256">SUM(P257:P260)</f>
        <v>0</v>
      </c>
      <c r="Q256" s="107">
        <f t="shared" si="80"/>
        <v>0</v>
      </c>
      <c r="R256" s="107"/>
      <c r="S256" s="107"/>
      <c r="T256" s="107">
        <f t="shared" si="55"/>
        <v>0</v>
      </c>
      <c r="U256" s="140">
        <f t="shared" si="80"/>
        <v>0</v>
      </c>
      <c r="V256" s="107">
        <f t="shared" si="80"/>
        <v>0</v>
      </c>
      <c r="W256" s="107">
        <f t="shared" si="80"/>
        <v>0</v>
      </c>
    </row>
    <row r="257" spans="1:23" s="98" customFormat="1" ht="13.5" hidden="1">
      <c r="A257" s="77"/>
      <c r="B257" s="100"/>
      <c r="C257" s="100"/>
      <c r="D257" s="100"/>
      <c r="E257" s="2"/>
      <c r="F257" s="2"/>
      <c r="G257" s="11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>
        <f t="shared" si="55"/>
        <v>0</v>
      </c>
      <c r="U257" s="7"/>
      <c r="V257" s="5"/>
      <c r="W257" s="5"/>
    </row>
    <row r="258" spans="1:23" s="98" customFormat="1" ht="13.5" hidden="1">
      <c r="A258" s="77"/>
      <c r="B258" s="100"/>
      <c r="C258" s="100"/>
      <c r="D258" s="100"/>
      <c r="E258" s="2"/>
      <c r="F258" s="2"/>
      <c r="G258" s="11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>
        <f t="shared" si="55"/>
        <v>0</v>
      </c>
      <c r="U258" s="7"/>
      <c r="V258" s="5"/>
      <c r="W258" s="5"/>
    </row>
    <row r="259" spans="1:23" s="98" customFormat="1" ht="13.5" hidden="1">
      <c r="A259" s="77"/>
      <c r="B259" s="100"/>
      <c r="C259" s="100"/>
      <c r="D259" s="100"/>
      <c r="E259" s="2"/>
      <c r="F259" s="2"/>
      <c r="G259" s="11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>
        <f t="shared" si="55"/>
        <v>0</v>
      </c>
      <c r="U259" s="7"/>
      <c r="V259" s="5"/>
      <c r="W259" s="5"/>
    </row>
    <row r="260" spans="1:23" s="98" customFormat="1" ht="13.5" hidden="1">
      <c r="A260" s="77"/>
      <c r="B260" s="100"/>
      <c r="C260" s="100"/>
      <c r="D260" s="100"/>
      <c r="E260" s="2"/>
      <c r="F260" s="2"/>
      <c r="G260" s="11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>
        <f t="shared" si="55"/>
        <v>0</v>
      </c>
      <c r="U260" s="7"/>
      <c r="V260" s="5"/>
      <c r="W260" s="5"/>
    </row>
    <row r="261" spans="1:23" s="98" customFormat="1" ht="20.25">
      <c r="A261" s="97"/>
      <c r="B261" s="40"/>
      <c r="C261" s="40"/>
      <c r="D261" s="40"/>
      <c r="E261" s="40"/>
      <c r="F261" s="40"/>
      <c r="G261" s="143" t="s">
        <v>17</v>
      </c>
      <c r="H261" s="42">
        <f aca="true" t="shared" si="81" ref="H261:O261">H15+H195</f>
        <v>939898346</v>
      </c>
      <c r="I261" s="42">
        <f>I15+I195</f>
        <v>26744639</v>
      </c>
      <c r="J261" s="42">
        <f t="shared" si="81"/>
        <v>966642985</v>
      </c>
      <c r="K261" s="42">
        <f t="shared" si="81"/>
        <v>0</v>
      </c>
      <c r="L261" s="42">
        <f t="shared" si="81"/>
        <v>0</v>
      </c>
      <c r="M261" s="42">
        <f t="shared" si="81"/>
        <v>0</v>
      </c>
      <c r="N261" s="42">
        <f t="shared" si="81"/>
        <v>0</v>
      </c>
      <c r="O261" s="42">
        <f t="shared" si="81"/>
        <v>0</v>
      </c>
      <c r="P261" s="53">
        <f aca="true" t="shared" si="82" ref="P261:W261">P15+P195</f>
        <v>0</v>
      </c>
      <c r="Q261" s="53">
        <f t="shared" si="82"/>
        <v>0</v>
      </c>
      <c r="R261" s="53">
        <f t="shared" si="82"/>
        <v>41685755</v>
      </c>
      <c r="S261" s="53">
        <f t="shared" si="82"/>
        <v>45159567</v>
      </c>
      <c r="T261" s="53">
        <f t="shared" si="82"/>
        <v>86845322</v>
      </c>
      <c r="U261" s="53">
        <f t="shared" si="82"/>
        <v>879797663</v>
      </c>
      <c r="V261" s="42">
        <f t="shared" si="82"/>
        <v>86845322</v>
      </c>
      <c r="W261" s="42">
        <f t="shared" si="82"/>
        <v>0</v>
      </c>
    </row>
    <row r="262" spans="7:19" s="446" customFormat="1" ht="11.25">
      <c r="G262" s="447"/>
      <c r="H262" s="446">
        <v>939898346</v>
      </c>
      <c r="I262" s="446">
        <v>26744639</v>
      </c>
      <c r="J262" s="446">
        <v>966642985</v>
      </c>
      <c r="K262" s="446">
        <v>0</v>
      </c>
      <c r="L262" s="446">
        <v>0</v>
      </c>
      <c r="M262" s="446">
        <v>0</v>
      </c>
      <c r="N262" s="446">
        <v>0</v>
      </c>
      <c r="P262" s="446">
        <v>0</v>
      </c>
      <c r="Q262" s="446">
        <v>0</v>
      </c>
      <c r="R262" s="446">
        <v>41685755</v>
      </c>
      <c r="S262" s="446">
        <v>42258567</v>
      </c>
    </row>
    <row r="263" spans="7:21" s="448" customFormat="1" ht="11.25">
      <c r="G263" s="449"/>
      <c r="H263" s="450">
        <f>+H261-H262</f>
        <v>0</v>
      </c>
      <c r="I263" s="450">
        <f aca="true" t="shared" si="83" ref="I263:U263">+I261-I262</f>
        <v>0</v>
      </c>
      <c r="J263" s="450">
        <f t="shared" si="83"/>
        <v>0</v>
      </c>
      <c r="K263" s="450">
        <f t="shared" si="83"/>
        <v>0</v>
      </c>
      <c r="L263" s="450">
        <f t="shared" si="83"/>
        <v>0</v>
      </c>
      <c r="M263" s="450">
        <f t="shared" si="83"/>
        <v>0</v>
      </c>
      <c r="N263" s="450">
        <f t="shared" si="83"/>
        <v>0</v>
      </c>
      <c r="O263" s="450">
        <f>+O261-O262</f>
        <v>0</v>
      </c>
      <c r="P263" s="450">
        <f t="shared" si="83"/>
        <v>0</v>
      </c>
      <c r="Q263" s="450">
        <f t="shared" si="83"/>
        <v>0</v>
      </c>
      <c r="R263" s="450"/>
      <c r="S263" s="450"/>
      <c r="T263" s="450">
        <f t="shared" si="83"/>
        <v>86845322</v>
      </c>
      <c r="U263" s="450">
        <f t="shared" si="83"/>
        <v>879797663</v>
      </c>
    </row>
    <row r="264" spans="15:20" ht="13.5">
      <c r="O264" s="145"/>
      <c r="T264" s="145"/>
    </row>
    <row r="266" ht="13.5">
      <c r="G266" s="65"/>
    </row>
    <row r="267" spans="6:23" s="269" customFormat="1" ht="15.75">
      <c r="F267" s="269" t="s">
        <v>509</v>
      </c>
      <c r="H267" s="527" t="s">
        <v>517</v>
      </c>
      <c r="I267" s="527"/>
      <c r="J267" s="527"/>
      <c r="V267" s="269" t="s">
        <v>497</v>
      </c>
      <c r="W267" s="282"/>
    </row>
    <row r="268" spans="6:22" s="268" customFormat="1" ht="15">
      <c r="F268" s="268" t="s">
        <v>498</v>
      </c>
      <c r="G268" s="495"/>
      <c r="I268" s="268" t="s">
        <v>477</v>
      </c>
      <c r="V268" s="268" t="s">
        <v>473</v>
      </c>
    </row>
    <row r="269" spans="7:23" s="119" customFormat="1" ht="14.25">
      <c r="G269" s="120"/>
      <c r="J269" s="538"/>
      <c r="K269" s="538"/>
      <c r="U269" s="121"/>
      <c r="V269" s="122"/>
      <c r="W269" s="123"/>
    </row>
    <row r="270" spans="1:21" s="11" customFormat="1" ht="12.75">
      <c r="A270" s="70"/>
      <c r="B270" s="56"/>
      <c r="C270" s="56"/>
      <c r="D270" s="56"/>
      <c r="E270" s="56"/>
      <c r="F270" s="56"/>
      <c r="G270" s="125"/>
      <c r="U270" s="72"/>
    </row>
    <row r="271" spans="1:21" s="11" customFormat="1" ht="12.75">
      <c r="A271" s="70"/>
      <c r="B271" s="56"/>
      <c r="C271" s="56"/>
      <c r="D271" s="56"/>
      <c r="E271" s="56"/>
      <c r="F271" s="56"/>
      <c r="G271" s="125"/>
      <c r="U271" s="72"/>
    </row>
    <row r="272" spans="1:21" s="11" customFormat="1" ht="12.75">
      <c r="A272" s="70"/>
      <c r="B272" s="56"/>
      <c r="C272" s="56"/>
      <c r="D272" s="56"/>
      <c r="E272" s="56"/>
      <c r="F272" s="56"/>
      <c r="G272" s="125"/>
      <c r="U272" s="72"/>
    </row>
  </sheetData>
  <sheetProtection/>
  <mergeCells count="17">
    <mergeCell ref="T12:T13"/>
    <mergeCell ref="B12:F12"/>
    <mergeCell ref="H12:H13"/>
    <mergeCell ref="K12:N12"/>
    <mergeCell ref="H267:J267"/>
    <mergeCell ref="J12:J13"/>
    <mergeCell ref="O12:O13"/>
    <mergeCell ref="W12:W13"/>
    <mergeCell ref="P12:S12"/>
    <mergeCell ref="J269:K269"/>
    <mergeCell ref="I12:I13"/>
    <mergeCell ref="G12:G13"/>
    <mergeCell ref="V6:W6"/>
    <mergeCell ref="V12:V13"/>
    <mergeCell ref="V10:W10"/>
    <mergeCell ref="U12:U13"/>
    <mergeCell ref="V11:W11"/>
  </mergeCells>
  <printOptions/>
  <pageMargins left="0.7874015748031497" right="0" top="0" bottom="0.5905511811023623" header="0" footer="0.1968503937007874"/>
  <pageSetup horizontalDpi="300" verticalDpi="300" orientation="landscape" paperSize="190" scale="75" r:id="rId1"/>
  <headerFooter alignWithMargins="0"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AM282"/>
  <sheetViews>
    <sheetView zoomScalePageLayoutView="0" workbookViewId="0" topLeftCell="A11">
      <pane xSplit="9" ySplit="10" topLeftCell="J269" activePane="bottomRight" state="frozen"/>
      <selection pane="topLeft" activeCell="A11" sqref="A11"/>
      <selection pane="topRight" activeCell="J11" sqref="J11"/>
      <selection pane="bottomLeft" activeCell="A21" sqref="A21"/>
      <selection pane="bottomRight" activeCell="G274" sqref="G274"/>
    </sheetView>
  </sheetViews>
  <sheetFormatPr defaultColWidth="11.421875" defaultRowHeight="12.75"/>
  <cols>
    <col min="1" max="1" width="3.57421875" style="352" customWidth="1"/>
    <col min="2" max="2" width="6.28125" style="352" customWidth="1"/>
    <col min="3" max="3" width="5.57421875" style="352" customWidth="1"/>
    <col min="4" max="4" width="6.421875" style="352" customWidth="1"/>
    <col min="5" max="5" width="6.7109375" style="352" customWidth="1"/>
    <col min="6" max="6" width="5.28125" style="352" customWidth="1"/>
    <col min="7" max="7" width="40.57421875" style="352" customWidth="1"/>
    <col min="8" max="8" width="14.7109375" style="352" customWidth="1"/>
    <col min="9" max="9" width="13.57421875" style="352" customWidth="1"/>
    <col min="10" max="10" width="14.28125" style="352" customWidth="1"/>
    <col min="11" max="13" width="9.8515625" style="352" hidden="1" customWidth="1"/>
    <col min="14" max="14" width="12.00390625" style="352" hidden="1" customWidth="1"/>
    <col min="15" max="15" width="13.7109375" style="352" customWidth="1"/>
    <col min="16" max="19" width="12.00390625" style="352" customWidth="1"/>
    <col min="20" max="20" width="13.7109375" style="352" hidden="1" customWidth="1"/>
    <col min="21" max="24" width="10.8515625" style="352" hidden="1" customWidth="1"/>
    <col min="25" max="25" width="11.57421875" style="352" hidden="1" customWidth="1"/>
    <col min="26" max="26" width="12.57421875" style="352" hidden="1" customWidth="1"/>
    <col min="27" max="28" width="10.8515625" style="352" hidden="1" customWidth="1"/>
    <col min="29" max="29" width="11.7109375" style="352" hidden="1" customWidth="1"/>
    <col min="30" max="30" width="10.8515625" style="352" hidden="1" customWidth="1"/>
    <col min="31" max="31" width="12.57421875" style="352" hidden="1" customWidth="1"/>
    <col min="32" max="32" width="13.140625" style="352" customWidth="1"/>
    <col min="33" max="33" width="14.57421875" style="352" customWidth="1"/>
    <col min="34" max="34" width="12.57421875" style="352" customWidth="1"/>
    <col min="35" max="35" width="14.57421875" style="352" customWidth="1"/>
    <col min="36" max="16384" width="11.421875" style="352" customWidth="1"/>
  </cols>
  <sheetData>
    <row r="1" spans="2:38" s="348" customFormat="1" ht="14.25" hidden="1">
      <c r="B1" s="410"/>
      <c r="C1" s="410"/>
      <c r="D1" s="410"/>
      <c r="E1" s="410"/>
      <c r="F1" s="410"/>
      <c r="G1" s="349"/>
      <c r="AL1" s="350"/>
    </row>
    <row r="2" spans="2:38" s="348" customFormat="1" ht="14.25" hidden="1">
      <c r="B2" s="410"/>
      <c r="C2" s="410"/>
      <c r="D2" s="410"/>
      <c r="E2" s="410"/>
      <c r="F2" s="410"/>
      <c r="G2" s="349"/>
      <c r="AL2" s="350"/>
    </row>
    <row r="3" spans="2:38" s="348" customFormat="1" ht="14.25" hidden="1">
      <c r="B3" s="410"/>
      <c r="C3" s="410"/>
      <c r="D3" s="410"/>
      <c r="E3" s="410"/>
      <c r="F3" s="410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555"/>
      <c r="AD3" s="555"/>
      <c r="AE3" s="555"/>
      <c r="AF3" s="555"/>
      <c r="AG3" s="555"/>
      <c r="AH3" s="555"/>
      <c r="AL3" s="350"/>
    </row>
    <row r="4" spans="2:38" s="348" customFormat="1" ht="14.25" hidden="1">
      <c r="B4" s="410"/>
      <c r="C4" s="410"/>
      <c r="D4" s="410"/>
      <c r="E4" s="410"/>
      <c r="F4" s="410"/>
      <c r="G4" s="556"/>
      <c r="H4" s="556"/>
      <c r="I4" s="556"/>
      <c r="J4" s="556"/>
      <c r="K4" s="556"/>
      <c r="L4" s="556"/>
      <c r="M4" s="556"/>
      <c r="N4" s="556"/>
      <c r="O4" s="556"/>
      <c r="P4" s="556"/>
      <c r="Q4" s="556"/>
      <c r="R4" s="556"/>
      <c r="S4" s="556"/>
      <c r="T4" s="556"/>
      <c r="U4" s="556"/>
      <c r="V4" s="556"/>
      <c r="W4" s="556"/>
      <c r="X4" s="556"/>
      <c r="Y4" s="556"/>
      <c r="Z4" s="556"/>
      <c r="AA4" s="556"/>
      <c r="AB4" s="556"/>
      <c r="AC4" s="556"/>
      <c r="AD4" s="556"/>
      <c r="AE4" s="556"/>
      <c r="AF4" s="556"/>
      <c r="AG4" s="556"/>
      <c r="AH4" s="556"/>
      <c r="AL4" s="350"/>
    </row>
    <row r="5" spans="2:39" s="348" customFormat="1" ht="14.25" hidden="1">
      <c r="B5" s="350"/>
      <c r="C5" s="350"/>
      <c r="D5" s="350"/>
      <c r="E5" s="350"/>
      <c r="F5" s="350"/>
      <c r="G5" s="556"/>
      <c r="H5" s="556"/>
      <c r="I5" s="556"/>
      <c r="J5" s="556"/>
      <c r="K5" s="556"/>
      <c r="L5" s="556"/>
      <c r="M5" s="556"/>
      <c r="N5" s="556"/>
      <c r="O5" s="556"/>
      <c r="P5" s="556"/>
      <c r="Q5" s="556"/>
      <c r="R5" s="556"/>
      <c r="S5" s="556"/>
      <c r="T5" s="556"/>
      <c r="U5" s="556"/>
      <c r="V5" s="556"/>
      <c r="W5" s="556"/>
      <c r="X5" s="556"/>
      <c r="Y5" s="556"/>
      <c r="Z5" s="556"/>
      <c r="AA5" s="556"/>
      <c r="AB5" s="556"/>
      <c r="AC5" s="556"/>
      <c r="AD5" s="556"/>
      <c r="AE5" s="556"/>
      <c r="AF5" s="556"/>
      <c r="AG5" s="556"/>
      <c r="AH5" s="556"/>
      <c r="AI5" s="350"/>
      <c r="AJ5" s="350"/>
      <c r="AK5" s="350"/>
      <c r="AL5" s="350"/>
      <c r="AM5" s="350"/>
    </row>
    <row r="6" spans="2:39" s="348" customFormat="1" ht="6" customHeight="1" hidden="1"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</row>
    <row r="7" spans="2:35" ht="6" customHeight="1" hidden="1"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353"/>
      <c r="X7" s="353"/>
      <c r="Y7" s="353"/>
      <c r="Z7" s="353"/>
      <c r="AA7" s="353"/>
      <c r="AB7" s="353"/>
      <c r="AC7" s="353"/>
      <c r="AD7" s="353"/>
      <c r="AE7" s="353"/>
      <c r="AF7" s="353"/>
      <c r="AG7" s="353"/>
      <c r="AH7" s="353"/>
      <c r="AI7" s="353"/>
    </row>
    <row r="8" spans="2:35" ht="27.75" customHeight="1">
      <c r="B8" s="354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5"/>
      <c r="AE8" s="355"/>
      <c r="AF8" s="355"/>
      <c r="AG8" s="355"/>
      <c r="AH8" s="355"/>
      <c r="AI8" s="356"/>
    </row>
    <row r="9" spans="2:35" s="357" customFormat="1" ht="14.25">
      <c r="B9" s="358" t="s">
        <v>286</v>
      </c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59"/>
      <c r="AG9" s="359"/>
      <c r="AH9" s="360"/>
      <c r="AI9" s="361"/>
    </row>
    <row r="10" spans="2:35" ht="14.25">
      <c r="B10" s="358" t="s">
        <v>546</v>
      </c>
      <c r="C10" s="359"/>
      <c r="D10" s="359"/>
      <c r="E10" s="359"/>
      <c r="F10" s="359"/>
      <c r="G10" s="359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362"/>
      <c r="W10" s="362"/>
      <c r="X10" s="362"/>
      <c r="Y10" s="362"/>
      <c r="Z10" s="362"/>
      <c r="AA10" s="362"/>
      <c r="AB10" s="362"/>
      <c r="AC10" s="362"/>
      <c r="AD10" s="362"/>
      <c r="AE10" s="362"/>
      <c r="AF10" s="362"/>
      <c r="AG10" s="362"/>
      <c r="AH10" s="362"/>
      <c r="AI10" s="363"/>
    </row>
    <row r="11" spans="2:35" ht="14.25">
      <c r="B11" s="364" t="s">
        <v>241</v>
      </c>
      <c r="C11" s="365"/>
      <c r="D11" s="365"/>
      <c r="E11" s="365"/>
      <c r="F11" s="366" t="s">
        <v>224</v>
      </c>
      <c r="G11" s="367">
        <v>30</v>
      </c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2"/>
      <c r="AG11" s="362"/>
      <c r="AH11" s="362"/>
      <c r="AI11" s="363"/>
    </row>
    <row r="12" spans="2:35" ht="14.25">
      <c r="B12" s="364" t="s">
        <v>225</v>
      </c>
      <c r="C12" s="365"/>
      <c r="D12" s="365"/>
      <c r="E12" s="365"/>
      <c r="F12" s="366" t="s">
        <v>224</v>
      </c>
      <c r="G12" s="365" t="str">
        <f>'[1]FONACIDE'!G12</f>
        <v>235 MUNICIPALIDAD DE CARMELO PERALTA</v>
      </c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62"/>
      <c r="AG12" s="362"/>
      <c r="AH12" s="557"/>
      <c r="AI12" s="558"/>
    </row>
    <row r="13" spans="2:35" ht="14.25">
      <c r="B13" s="364" t="s">
        <v>226</v>
      </c>
      <c r="C13" s="365"/>
      <c r="D13" s="365"/>
      <c r="E13" s="365"/>
      <c r="F13" s="366" t="s">
        <v>224</v>
      </c>
      <c r="G13" s="368" t="s">
        <v>302</v>
      </c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C13" s="362"/>
      <c r="AD13" s="362"/>
      <c r="AE13" s="362"/>
      <c r="AF13" s="362"/>
      <c r="AG13" s="362"/>
      <c r="AH13" s="369"/>
      <c r="AI13" s="370"/>
    </row>
    <row r="14" spans="2:35" ht="14.25">
      <c r="B14" s="364" t="s">
        <v>227</v>
      </c>
      <c r="C14" s="365"/>
      <c r="D14" s="365"/>
      <c r="E14" s="365"/>
      <c r="F14" s="366" t="s">
        <v>224</v>
      </c>
      <c r="G14" s="368" t="s">
        <v>305</v>
      </c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369"/>
      <c r="AI14" s="370"/>
    </row>
    <row r="15" spans="2:35" ht="14.25">
      <c r="B15" s="364" t="s">
        <v>228</v>
      </c>
      <c r="C15" s="365"/>
      <c r="D15" s="365"/>
      <c r="E15" s="365"/>
      <c r="F15" s="366" t="s">
        <v>224</v>
      </c>
      <c r="G15" s="368" t="s">
        <v>303</v>
      </c>
      <c r="H15" s="371"/>
      <c r="I15" s="371"/>
      <c r="J15" s="371" t="s">
        <v>547</v>
      </c>
      <c r="K15" s="371"/>
      <c r="L15" s="371"/>
      <c r="M15" s="371"/>
      <c r="N15" s="371"/>
      <c r="O15" s="371"/>
      <c r="P15" s="371"/>
      <c r="Q15" s="371"/>
      <c r="R15" s="371"/>
      <c r="S15" s="371"/>
      <c r="T15" s="371"/>
      <c r="U15" s="371"/>
      <c r="V15" s="371"/>
      <c r="W15" s="371"/>
      <c r="X15" s="371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2"/>
    </row>
    <row r="16" spans="2:35" ht="14.25">
      <c r="B16" s="364" t="s">
        <v>229</v>
      </c>
      <c r="C16" s="365"/>
      <c r="D16" s="365"/>
      <c r="E16" s="365"/>
      <c r="F16" s="366" t="s">
        <v>224</v>
      </c>
      <c r="G16" s="362" t="s">
        <v>304</v>
      </c>
      <c r="H16" s="373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2"/>
      <c r="W16" s="362"/>
      <c r="X16" s="362"/>
      <c r="Y16" s="362"/>
      <c r="Z16" s="362"/>
      <c r="AA16" s="362"/>
      <c r="AB16" s="362"/>
      <c r="AC16" s="362"/>
      <c r="AD16" s="362"/>
      <c r="AE16" s="362"/>
      <c r="AF16" s="362"/>
      <c r="AG16" s="362"/>
      <c r="AH16" s="547" t="s">
        <v>287</v>
      </c>
      <c r="AI16" s="548"/>
    </row>
    <row r="17" spans="2:35" s="374" customFormat="1" ht="14.25">
      <c r="B17" s="375"/>
      <c r="C17" s="376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  <c r="Z17" s="376"/>
      <c r="AA17" s="376"/>
      <c r="AB17" s="376"/>
      <c r="AC17" s="376"/>
      <c r="AD17" s="376"/>
      <c r="AE17" s="376"/>
      <c r="AF17" s="376"/>
      <c r="AG17" s="376"/>
      <c r="AH17" s="549"/>
      <c r="AI17" s="550"/>
    </row>
    <row r="18" spans="2:35" s="350" customFormat="1" ht="15" customHeight="1">
      <c r="B18" s="561" t="s">
        <v>11</v>
      </c>
      <c r="C18" s="562"/>
      <c r="D18" s="562"/>
      <c r="E18" s="562"/>
      <c r="F18" s="563"/>
      <c r="G18" s="559" t="s">
        <v>12</v>
      </c>
      <c r="H18" s="542" t="s">
        <v>230</v>
      </c>
      <c r="I18" s="542" t="s">
        <v>280</v>
      </c>
      <c r="J18" s="542" t="s">
        <v>223</v>
      </c>
      <c r="K18" s="551" t="s">
        <v>322</v>
      </c>
      <c r="L18" s="552"/>
      <c r="M18" s="552"/>
      <c r="N18" s="552"/>
      <c r="O18" s="542" t="s">
        <v>565</v>
      </c>
      <c r="P18" s="551" t="s">
        <v>322</v>
      </c>
      <c r="Q18" s="552"/>
      <c r="R18" s="552"/>
      <c r="S18" s="552"/>
      <c r="T18" s="542" t="s">
        <v>548</v>
      </c>
      <c r="U18" s="551" t="s">
        <v>322</v>
      </c>
      <c r="V18" s="552"/>
      <c r="W18" s="552"/>
      <c r="X18" s="552"/>
      <c r="Y18" s="542" t="s">
        <v>549</v>
      </c>
      <c r="Z18" s="542" t="s">
        <v>550</v>
      </c>
      <c r="AA18" s="551" t="s">
        <v>322</v>
      </c>
      <c r="AB18" s="552"/>
      <c r="AC18" s="552"/>
      <c r="AD18" s="552"/>
      <c r="AE18" s="542" t="s">
        <v>549</v>
      </c>
      <c r="AF18" s="542" t="s">
        <v>244</v>
      </c>
      <c r="AG18" s="553" t="s">
        <v>231</v>
      </c>
      <c r="AH18" s="542" t="s">
        <v>245</v>
      </c>
      <c r="AI18" s="542" t="s">
        <v>246</v>
      </c>
    </row>
    <row r="19" spans="2:35" ht="45" customHeight="1">
      <c r="B19" s="377" t="s">
        <v>14</v>
      </c>
      <c r="C19" s="377" t="s">
        <v>296</v>
      </c>
      <c r="D19" s="377" t="s">
        <v>232</v>
      </c>
      <c r="E19" s="377" t="s">
        <v>15</v>
      </c>
      <c r="F19" s="377" t="s">
        <v>16</v>
      </c>
      <c r="G19" s="560"/>
      <c r="H19" s="543"/>
      <c r="I19" s="543"/>
      <c r="J19" s="543"/>
      <c r="K19" s="378" t="s">
        <v>551</v>
      </c>
      <c r="L19" s="378" t="s">
        <v>552</v>
      </c>
      <c r="M19" s="378" t="s">
        <v>553</v>
      </c>
      <c r="N19" s="379" t="s">
        <v>554</v>
      </c>
      <c r="O19" s="543"/>
      <c r="P19" s="379" t="s">
        <v>555</v>
      </c>
      <c r="Q19" s="378" t="s">
        <v>556</v>
      </c>
      <c r="R19" s="379" t="s">
        <v>559</v>
      </c>
      <c r="S19" s="379" t="s">
        <v>560</v>
      </c>
      <c r="T19" s="543"/>
      <c r="U19" s="380">
        <v>41030</v>
      </c>
      <c r="V19" s="380">
        <v>41061</v>
      </c>
      <c r="W19" s="380">
        <v>41091</v>
      </c>
      <c r="X19" s="380">
        <v>41122</v>
      </c>
      <c r="Y19" s="543"/>
      <c r="Z19" s="543"/>
      <c r="AA19" s="380">
        <v>41153</v>
      </c>
      <c r="AB19" s="380">
        <v>41183</v>
      </c>
      <c r="AC19" s="380">
        <v>41214</v>
      </c>
      <c r="AD19" s="380">
        <v>41244</v>
      </c>
      <c r="AE19" s="543"/>
      <c r="AF19" s="543"/>
      <c r="AG19" s="554"/>
      <c r="AH19" s="543"/>
      <c r="AI19" s="543"/>
    </row>
    <row r="20" spans="2:35" ht="14.25">
      <c r="B20" s="381"/>
      <c r="C20" s="381"/>
      <c r="D20" s="381"/>
      <c r="E20" s="381"/>
      <c r="F20" s="381"/>
      <c r="G20" s="381" t="s">
        <v>17</v>
      </c>
      <c r="H20" s="382">
        <f>H21+H204+H58</f>
        <v>1453110226</v>
      </c>
      <c r="I20" s="382">
        <f aca="true" t="shared" si="0" ref="I20:AI20">I21+I204+I58</f>
        <v>-143884977</v>
      </c>
      <c r="J20" s="382">
        <f t="shared" si="0"/>
        <v>1309225249</v>
      </c>
      <c r="K20" s="382">
        <f t="shared" si="0"/>
        <v>0</v>
      </c>
      <c r="L20" s="382">
        <f t="shared" si="0"/>
        <v>4603333</v>
      </c>
      <c r="M20" s="382">
        <f t="shared" si="0"/>
        <v>6500000</v>
      </c>
      <c r="N20" s="382">
        <f t="shared" si="0"/>
        <v>156316000</v>
      </c>
      <c r="O20" s="382">
        <f t="shared" si="0"/>
        <v>167419333</v>
      </c>
      <c r="P20" s="382">
        <f t="shared" si="0"/>
        <v>124800000</v>
      </c>
      <c r="Q20" s="382">
        <f t="shared" si="0"/>
        <v>50000000</v>
      </c>
      <c r="R20" s="382">
        <f t="shared" si="0"/>
        <v>19800000</v>
      </c>
      <c r="S20" s="382">
        <f t="shared" si="0"/>
        <v>39900000</v>
      </c>
      <c r="T20" s="382">
        <f t="shared" si="0"/>
        <v>419638666</v>
      </c>
      <c r="U20" s="382">
        <f t="shared" si="0"/>
        <v>0</v>
      </c>
      <c r="V20" s="382">
        <f t="shared" si="0"/>
        <v>0</v>
      </c>
      <c r="W20" s="382">
        <f t="shared" si="0"/>
        <v>0</v>
      </c>
      <c r="X20" s="382">
        <f t="shared" si="0"/>
        <v>0</v>
      </c>
      <c r="Y20" s="382">
        <f t="shared" si="0"/>
        <v>0</v>
      </c>
      <c r="Z20" s="382">
        <f t="shared" si="0"/>
        <v>419638666</v>
      </c>
      <c r="AA20" s="382">
        <f t="shared" si="0"/>
        <v>0</v>
      </c>
      <c r="AB20" s="382">
        <f t="shared" si="0"/>
        <v>0</v>
      </c>
      <c r="AC20" s="382">
        <f t="shared" si="0"/>
        <v>0</v>
      </c>
      <c r="AD20" s="382">
        <f t="shared" si="0"/>
        <v>0</v>
      </c>
      <c r="AE20" s="382">
        <f t="shared" si="0"/>
        <v>0</v>
      </c>
      <c r="AF20" s="382">
        <f t="shared" si="0"/>
        <v>401919333</v>
      </c>
      <c r="AG20" s="382">
        <f t="shared" si="0"/>
        <v>907305916</v>
      </c>
      <c r="AH20" s="382">
        <f t="shared" si="0"/>
        <v>401919333</v>
      </c>
      <c r="AI20" s="382">
        <f t="shared" si="0"/>
        <v>0</v>
      </c>
    </row>
    <row r="21" spans="2:36" ht="14.25">
      <c r="B21" s="381"/>
      <c r="C21" s="381"/>
      <c r="D21" s="381"/>
      <c r="E21" s="381"/>
      <c r="F21" s="381"/>
      <c r="G21" s="383" t="s">
        <v>18</v>
      </c>
      <c r="H21" s="382">
        <f>H22+H58+H101+H143+H138+H189</f>
        <v>309444906</v>
      </c>
      <c r="I21" s="382">
        <f aca="true" t="shared" si="1" ref="I21:S21">I22+I58+I101+I143+I138+I189</f>
        <v>-55599856</v>
      </c>
      <c r="J21" s="382">
        <f t="shared" si="1"/>
        <v>253845050</v>
      </c>
      <c r="K21" s="382">
        <f t="shared" si="1"/>
        <v>0</v>
      </c>
      <c r="L21" s="382">
        <f t="shared" si="1"/>
        <v>4603333</v>
      </c>
      <c r="M21" s="382">
        <f t="shared" si="1"/>
        <v>6500000</v>
      </c>
      <c r="N21" s="382">
        <f t="shared" si="1"/>
        <v>19316000</v>
      </c>
      <c r="O21" s="382">
        <f t="shared" si="1"/>
        <v>30419333</v>
      </c>
      <c r="P21" s="382">
        <f>P22+P58+P101+P143+P138+P189</f>
        <v>84800000</v>
      </c>
      <c r="Q21" s="382">
        <f t="shared" si="1"/>
        <v>50000000</v>
      </c>
      <c r="R21" s="382">
        <f t="shared" si="1"/>
        <v>19800000</v>
      </c>
      <c r="S21" s="382">
        <f t="shared" si="1"/>
        <v>39900000</v>
      </c>
      <c r="T21" s="382">
        <f>SUM(K21:P21)</f>
        <v>145638666</v>
      </c>
      <c r="U21" s="382">
        <f>U22+U58+U101+U143+U138+U189</f>
        <v>0</v>
      </c>
      <c r="V21" s="382">
        <f>V22+V58+V101+V143+V138+V189</f>
        <v>0</v>
      </c>
      <c r="W21" s="382">
        <f>W22+W58+W101+W143+W138+W189</f>
        <v>0</v>
      </c>
      <c r="X21" s="382">
        <f>X22+X58+X101+X143+X138+X189</f>
        <v>0</v>
      </c>
      <c r="Y21" s="382">
        <f>SUM(U21:X21)</f>
        <v>0</v>
      </c>
      <c r="Z21" s="382">
        <f aca="true" t="shared" si="2" ref="Z21:Z84">T21+Y21</f>
        <v>145638666</v>
      </c>
      <c r="AA21" s="382">
        <f>AA22+AA58+AA101+AA143+AA138+AA189</f>
        <v>0</v>
      </c>
      <c r="AB21" s="382">
        <f>AB22+AB58+AB101+AB143+AB138+AB189</f>
        <v>0</v>
      </c>
      <c r="AC21" s="382">
        <f>AC22+AC58+AC101+AC143+AC138+AC189</f>
        <v>0</v>
      </c>
      <c r="AD21" s="382">
        <f>AD22+AD58+AD101+AD143+AD138+AD189</f>
        <v>0</v>
      </c>
      <c r="AE21" s="382">
        <f>SUM(AA21:AD21)</f>
        <v>0</v>
      </c>
      <c r="AF21" s="382">
        <f>AF22+AF58+AF101+AF143+AF138+AF189</f>
        <v>224919333</v>
      </c>
      <c r="AG21" s="382">
        <f>AG22+AG58+AG101+AG143+AG138+AG189</f>
        <v>28925717</v>
      </c>
      <c r="AH21" s="382">
        <f>AH22+AH58+AH101+AH143+AH138+AH189</f>
        <v>224919333</v>
      </c>
      <c r="AI21" s="382">
        <f>AI22+AI58+AI101+AI143+AI138+AI189</f>
        <v>0</v>
      </c>
      <c r="AJ21" s="384"/>
    </row>
    <row r="22" spans="2:35" ht="14.25">
      <c r="B22" s="381">
        <f>'[1]GASTOS MATRIZ'!A19</f>
        <v>100</v>
      </c>
      <c r="C22" s="381"/>
      <c r="D22" s="381"/>
      <c r="E22" s="381"/>
      <c r="F22" s="381"/>
      <c r="G22" s="385" t="str">
        <f>'[1]GASTOS MATRIZ'!F19</f>
        <v>SERVICIOS PERSONALES</v>
      </c>
      <c r="H22" s="382">
        <f>H23+H29+H33+H41+H54</f>
        <v>177390000</v>
      </c>
      <c r="I22" s="382">
        <f aca="true" t="shared" si="3" ref="I22:S22">I23+I29+I33+I41+I54</f>
        <v>-27390000</v>
      </c>
      <c r="J22" s="382">
        <f t="shared" si="3"/>
        <v>150000000</v>
      </c>
      <c r="K22" s="382">
        <f t="shared" si="3"/>
        <v>0</v>
      </c>
      <c r="L22" s="382">
        <f t="shared" si="3"/>
        <v>4603333</v>
      </c>
      <c r="M22" s="382">
        <f t="shared" si="3"/>
        <v>6500000</v>
      </c>
      <c r="N22" s="382">
        <f t="shared" si="3"/>
        <v>19316000</v>
      </c>
      <c r="O22" s="382">
        <f t="shared" si="3"/>
        <v>30419333</v>
      </c>
      <c r="P22" s="382">
        <f t="shared" si="3"/>
        <v>44800000</v>
      </c>
      <c r="Q22" s="382">
        <f t="shared" si="3"/>
        <v>25000000</v>
      </c>
      <c r="R22" s="382">
        <f t="shared" si="3"/>
        <v>19800000</v>
      </c>
      <c r="S22" s="382">
        <f t="shared" si="3"/>
        <v>9900000</v>
      </c>
      <c r="T22" s="382">
        <f>SUM(K22:P22)</f>
        <v>105638666</v>
      </c>
      <c r="U22" s="382">
        <f>U23+U29+U33+U41+U54</f>
        <v>0</v>
      </c>
      <c r="V22" s="382">
        <f>V23+V29+V33+V41+V54</f>
        <v>0</v>
      </c>
      <c r="W22" s="382">
        <f>W23+W29+W33+W41+W54</f>
        <v>0</v>
      </c>
      <c r="X22" s="382">
        <f>X23+X29+X33+X41+X54</f>
        <v>0</v>
      </c>
      <c r="Y22" s="382">
        <f>SUM(U22:X22)</f>
        <v>0</v>
      </c>
      <c r="Z22" s="382">
        <f t="shared" si="2"/>
        <v>105638666</v>
      </c>
      <c r="AA22" s="382">
        <f>AA23+AA29+AA33+AA41+AA54</f>
        <v>0</v>
      </c>
      <c r="AB22" s="382">
        <f>AB23+AB29+AB33+AB41+AB54</f>
        <v>0</v>
      </c>
      <c r="AC22" s="382">
        <f>AC23+AC29+AC33+AC41+AC54</f>
        <v>0</v>
      </c>
      <c r="AD22" s="382">
        <f>AD23+AD29+AD33+AD41+AD54</f>
        <v>0</v>
      </c>
      <c r="AE22" s="382">
        <f>SUM(AA22:AD22)</f>
        <v>0</v>
      </c>
      <c r="AF22" s="382">
        <f>AF23+AF29+AF33+AF41+AF54</f>
        <v>129919333</v>
      </c>
      <c r="AG22" s="382">
        <f>AG23+AG29+AG33+AG41+AG54</f>
        <v>20080667</v>
      </c>
      <c r="AH22" s="382">
        <f>AH23+AH29+AH33+AH41+AH54</f>
        <v>129919333</v>
      </c>
      <c r="AI22" s="382">
        <f>AI23+AI29+AI33+AI41+AI54</f>
        <v>0</v>
      </c>
    </row>
    <row r="23" spans="2:35" ht="15" customHeight="1" hidden="1">
      <c r="B23" s="381"/>
      <c r="C23" s="381">
        <f>'[1]GASTOS MATRIZ'!B20</f>
        <v>110</v>
      </c>
      <c r="D23" s="381"/>
      <c r="E23" s="381"/>
      <c r="F23" s="381"/>
      <c r="G23" s="385" t="str">
        <f>'[1]GASTOS MATRIZ'!F20</f>
        <v>Remuneraciones Básicas</v>
      </c>
      <c r="H23" s="382">
        <f>SUM(H24:H27)</f>
        <v>0</v>
      </c>
      <c r="I23" s="382">
        <f aca="true" t="shared" si="4" ref="I23:S23">SUM(I24:I27)</f>
        <v>0</v>
      </c>
      <c r="J23" s="382">
        <f t="shared" si="4"/>
        <v>0</v>
      </c>
      <c r="K23" s="382">
        <f t="shared" si="4"/>
        <v>0</v>
      </c>
      <c r="L23" s="382">
        <f t="shared" si="4"/>
        <v>0</v>
      </c>
      <c r="M23" s="382">
        <f t="shared" si="4"/>
        <v>0</v>
      </c>
      <c r="N23" s="382">
        <f t="shared" si="4"/>
        <v>0</v>
      </c>
      <c r="O23" s="382">
        <f t="shared" si="4"/>
        <v>0</v>
      </c>
      <c r="P23" s="382">
        <f t="shared" si="4"/>
        <v>0</v>
      </c>
      <c r="Q23" s="382">
        <f t="shared" si="4"/>
        <v>0</v>
      </c>
      <c r="R23" s="382">
        <f t="shared" si="4"/>
        <v>0</v>
      </c>
      <c r="S23" s="382">
        <f t="shared" si="4"/>
        <v>0</v>
      </c>
      <c r="T23" s="382">
        <f>SUM(K23:P23)</f>
        <v>0</v>
      </c>
      <c r="U23" s="382">
        <f>SUM(U24:U27)</f>
        <v>0</v>
      </c>
      <c r="V23" s="382">
        <f>SUM(V24:V27)</f>
        <v>0</v>
      </c>
      <c r="W23" s="382">
        <f>SUM(W24:W27)</f>
        <v>0</v>
      </c>
      <c r="X23" s="382">
        <f>SUM(X24:X27)</f>
        <v>0</v>
      </c>
      <c r="Y23" s="382">
        <f>SUM(U23:X23)</f>
        <v>0</v>
      </c>
      <c r="Z23" s="382">
        <f t="shared" si="2"/>
        <v>0</v>
      </c>
      <c r="AA23" s="382">
        <f>SUM(AA24:AA27)</f>
        <v>0</v>
      </c>
      <c r="AB23" s="382">
        <f>SUM(AB24:AB27)</f>
        <v>0</v>
      </c>
      <c r="AC23" s="382">
        <f>SUM(AC24:AC27)</f>
        <v>0</v>
      </c>
      <c r="AD23" s="382">
        <f>SUM(AD24:AD27)</f>
        <v>0</v>
      </c>
      <c r="AE23" s="382">
        <f>SUM(AA23:AD23)</f>
        <v>0</v>
      </c>
      <c r="AF23" s="382">
        <f>SUM(AF24:AF27)</f>
        <v>0</v>
      </c>
      <c r="AG23" s="382">
        <f>SUM(AG24:AG27)</f>
        <v>0</v>
      </c>
      <c r="AH23" s="382">
        <f>SUM(AH24:AH27)</f>
        <v>0</v>
      </c>
      <c r="AI23" s="382">
        <f>SUM(AI24:AI27)</f>
        <v>0</v>
      </c>
    </row>
    <row r="24" spans="2:35" ht="15" customHeight="1" hidden="1">
      <c r="B24" s="386"/>
      <c r="C24" s="386"/>
      <c r="D24" s="386"/>
      <c r="E24" s="387"/>
      <c r="F24" s="387"/>
      <c r="G24" s="388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89"/>
      <c r="Y24" s="389"/>
      <c r="Z24" s="389">
        <f t="shared" si="2"/>
        <v>0</v>
      </c>
      <c r="AA24" s="389"/>
      <c r="AB24" s="389"/>
      <c r="AC24" s="389"/>
      <c r="AD24" s="389"/>
      <c r="AE24" s="389"/>
      <c r="AF24" s="389"/>
      <c r="AG24" s="389"/>
      <c r="AH24" s="389"/>
      <c r="AI24" s="389"/>
    </row>
    <row r="25" spans="2:35" ht="15" customHeight="1" hidden="1">
      <c r="B25" s="386"/>
      <c r="C25" s="386"/>
      <c r="D25" s="386"/>
      <c r="E25" s="387"/>
      <c r="F25" s="387"/>
      <c r="G25" s="388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  <c r="Y25" s="389"/>
      <c r="Z25" s="389">
        <f t="shared" si="2"/>
        <v>0</v>
      </c>
      <c r="AA25" s="389"/>
      <c r="AB25" s="389"/>
      <c r="AC25" s="389"/>
      <c r="AD25" s="389"/>
      <c r="AE25" s="389"/>
      <c r="AF25" s="389"/>
      <c r="AG25" s="389"/>
      <c r="AH25" s="389"/>
      <c r="AI25" s="389"/>
    </row>
    <row r="26" spans="2:35" ht="15" customHeight="1" hidden="1">
      <c r="B26" s="386"/>
      <c r="C26" s="386"/>
      <c r="D26" s="386"/>
      <c r="E26" s="387"/>
      <c r="F26" s="387"/>
      <c r="G26" s="388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  <c r="T26" s="389"/>
      <c r="U26" s="389"/>
      <c r="V26" s="389"/>
      <c r="W26" s="389"/>
      <c r="X26" s="389"/>
      <c r="Y26" s="389"/>
      <c r="Z26" s="389">
        <f t="shared" si="2"/>
        <v>0</v>
      </c>
      <c r="AA26" s="389"/>
      <c r="AB26" s="389"/>
      <c r="AC26" s="389"/>
      <c r="AD26" s="389"/>
      <c r="AE26" s="389"/>
      <c r="AF26" s="389"/>
      <c r="AG26" s="389"/>
      <c r="AH26" s="389"/>
      <c r="AI26" s="389"/>
    </row>
    <row r="27" spans="2:35" ht="15" customHeight="1" hidden="1">
      <c r="B27" s="386"/>
      <c r="C27" s="386"/>
      <c r="D27" s="386"/>
      <c r="E27" s="387"/>
      <c r="F27" s="387"/>
      <c r="G27" s="388"/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89"/>
      <c r="S27" s="389"/>
      <c r="T27" s="389"/>
      <c r="U27" s="389"/>
      <c r="V27" s="389"/>
      <c r="W27" s="389"/>
      <c r="X27" s="389"/>
      <c r="Y27" s="389"/>
      <c r="Z27" s="389">
        <f t="shared" si="2"/>
        <v>0</v>
      </c>
      <c r="AA27" s="389"/>
      <c r="AB27" s="389"/>
      <c r="AC27" s="389"/>
      <c r="AD27" s="389"/>
      <c r="AE27" s="389"/>
      <c r="AF27" s="389"/>
      <c r="AG27" s="389"/>
      <c r="AH27" s="389"/>
      <c r="AI27" s="389"/>
    </row>
    <row r="28" spans="2:35" ht="15" customHeight="1" hidden="1">
      <c r="B28" s="386"/>
      <c r="C28" s="386"/>
      <c r="D28" s="386"/>
      <c r="E28" s="387"/>
      <c r="F28" s="387"/>
      <c r="G28" s="388"/>
      <c r="H28" s="389"/>
      <c r="I28" s="389"/>
      <c r="J28" s="389"/>
      <c r="K28" s="389"/>
      <c r="L28" s="389"/>
      <c r="M28" s="389"/>
      <c r="N28" s="389"/>
      <c r="O28" s="389"/>
      <c r="P28" s="389"/>
      <c r="Q28" s="389"/>
      <c r="R28" s="389"/>
      <c r="S28" s="389"/>
      <c r="T28" s="389"/>
      <c r="U28" s="389"/>
      <c r="V28" s="389"/>
      <c r="W28" s="389"/>
      <c r="X28" s="389"/>
      <c r="Y28" s="389"/>
      <c r="Z28" s="389">
        <f t="shared" si="2"/>
        <v>0</v>
      </c>
      <c r="AA28" s="389"/>
      <c r="AB28" s="389"/>
      <c r="AC28" s="389"/>
      <c r="AD28" s="389"/>
      <c r="AE28" s="389"/>
      <c r="AF28" s="389"/>
      <c r="AG28" s="389"/>
      <c r="AH28" s="389"/>
      <c r="AI28" s="389"/>
    </row>
    <row r="29" spans="2:35" ht="15" customHeight="1" hidden="1">
      <c r="B29" s="381"/>
      <c r="C29" s="381">
        <f>'[1]GASTOS MATRIZ'!B26</f>
        <v>120</v>
      </c>
      <c r="D29" s="381"/>
      <c r="E29" s="381"/>
      <c r="F29" s="381"/>
      <c r="G29" s="385" t="str">
        <f>'[1]GASTOS MATRIZ'!F26</f>
        <v>Remuneraciones Temporales</v>
      </c>
      <c r="H29" s="382">
        <f>SUM(H30:H32)</f>
        <v>0</v>
      </c>
      <c r="I29" s="382">
        <f aca="true" t="shared" si="5" ref="I29:S29">SUM(I30:I32)</f>
        <v>0</v>
      </c>
      <c r="J29" s="382">
        <f t="shared" si="5"/>
        <v>0</v>
      </c>
      <c r="K29" s="382">
        <f t="shared" si="5"/>
        <v>0</v>
      </c>
      <c r="L29" s="382">
        <f t="shared" si="5"/>
        <v>0</v>
      </c>
      <c r="M29" s="382">
        <f t="shared" si="5"/>
        <v>0</v>
      </c>
      <c r="N29" s="382">
        <f t="shared" si="5"/>
        <v>0</v>
      </c>
      <c r="O29" s="382">
        <f t="shared" si="5"/>
        <v>0</v>
      </c>
      <c r="P29" s="382">
        <f t="shared" si="5"/>
        <v>0</v>
      </c>
      <c r="Q29" s="382">
        <f t="shared" si="5"/>
        <v>0</v>
      </c>
      <c r="R29" s="382">
        <f t="shared" si="5"/>
        <v>0</v>
      </c>
      <c r="S29" s="382">
        <f t="shared" si="5"/>
        <v>0</v>
      </c>
      <c r="T29" s="382">
        <f>SUM(K29:P29)</f>
        <v>0</v>
      </c>
      <c r="U29" s="382">
        <f>SUM(U30:U32)</f>
        <v>0</v>
      </c>
      <c r="V29" s="382">
        <f>SUM(V30:V32)</f>
        <v>0</v>
      </c>
      <c r="W29" s="382">
        <f>SUM(W30:W32)</f>
        <v>0</v>
      </c>
      <c r="X29" s="382">
        <f>SUM(X30:X32)</f>
        <v>0</v>
      </c>
      <c r="Y29" s="382">
        <f>SUM(U29:X29)</f>
        <v>0</v>
      </c>
      <c r="Z29" s="382">
        <f t="shared" si="2"/>
        <v>0</v>
      </c>
      <c r="AA29" s="382">
        <f>SUM(AA30:AA32)</f>
        <v>0</v>
      </c>
      <c r="AB29" s="382">
        <f>SUM(AB30:AB32)</f>
        <v>0</v>
      </c>
      <c r="AC29" s="382">
        <f>SUM(AC30:AC32)</f>
        <v>0</v>
      </c>
      <c r="AD29" s="382">
        <f>SUM(AD30:AD32)</f>
        <v>0</v>
      </c>
      <c r="AE29" s="382">
        <f>SUM(AA29:AD29)</f>
        <v>0</v>
      </c>
      <c r="AF29" s="382">
        <f>SUM(AF30:AF32)</f>
        <v>0</v>
      </c>
      <c r="AG29" s="382">
        <f>SUM(AG30:AG32)</f>
        <v>0</v>
      </c>
      <c r="AH29" s="382">
        <f>SUM(AH30:AH32)</f>
        <v>0</v>
      </c>
      <c r="AI29" s="382">
        <f>SUM(AI30:AI32)</f>
        <v>0</v>
      </c>
    </row>
    <row r="30" spans="2:35" ht="15" customHeight="1" hidden="1">
      <c r="B30" s="386"/>
      <c r="C30" s="386"/>
      <c r="D30" s="386"/>
      <c r="E30" s="387"/>
      <c r="F30" s="387"/>
      <c r="G30" s="388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  <c r="T30" s="389"/>
      <c r="U30" s="389"/>
      <c r="V30" s="389"/>
      <c r="W30" s="389"/>
      <c r="X30" s="389"/>
      <c r="Y30" s="389"/>
      <c r="Z30" s="389">
        <f t="shared" si="2"/>
        <v>0</v>
      </c>
      <c r="AA30" s="389"/>
      <c r="AB30" s="389"/>
      <c r="AC30" s="389"/>
      <c r="AD30" s="389"/>
      <c r="AE30" s="389"/>
      <c r="AF30" s="389"/>
      <c r="AG30" s="389"/>
      <c r="AH30" s="389"/>
      <c r="AI30" s="389"/>
    </row>
    <row r="31" spans="2:35" ht="15" customHeight="1" hidden="1">
      <c r="B31" s="386"/>
      <c r="C31" s="386"/>
      <c r="D31" s="386"/>
      <c r="E31" s="387"/>
      <c r="F31" s="387"/>
      <c r="G31" s="388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  <c r="T31" s="389"/>
      <c r="U31" s="389"/>
      <c r="V31" s="389"/>
      <c r="W31" s="389"/>
      <c r="X31" s="389"/>
      <c r="Y31" s="389"/>
      <c r="Z31" s="389">
        <f t="shared" si="2"/>
        <v>0</v>
      </c>
      <c r="AA31" s="389"/>
      <c r="AB31" s="389"/>
      <c r="AC31" s="389"/>
      <c r="AD31" s="389"/>
      <c r="AE31" s="389"/>
      <c r="AF31" s="389"/>
      <c r="AG31" s="389"/>
      <c r="AH31" s="389"/>
      <c r="AI31" s="389"/>
    </row>
    <row r="32" spans="2:35" ht="15" customHeight="1" hidden="1">
      <c r="B32" s="386"/>
      <c r="C32" s="386"/>
      <c r="D32" s="386"/>
      <c r="E32" s="387"/>
      <c r="F32" s="387"/>
      <c r="G32" s="388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  <c r="T32" s="389"/>
      <c r="U32" s="389"/>
      <c r="V32" s="389"/>
      <c r="W32" s="389"/>
      <c r="X32" s="389"/>
      <c r="Y32" s="389"/>
      <c r="Z32" s="389">
        <f t="shared" si="2"/>
        <v>0</v>
      </c>
      <c r="AA32" s="389"/>
      <c r="AB32" s="389"/>
      <c r="AC32" s="389"/>
      <c r="AD32" s="389"/>
      <c r="AE32" s="389"/>
      <c r="AF32" s="389"/>
      <c r="AG32" s="389"/>
      <c r="AH32" s="389"/>
      <c r="AI32" s="389"/>
    </row>
    <row r="33" spans="2:35" ht="15" customHeight="1" hidden="1">
      <c r="B33" s="381"/>
      <c r="C33" s="381">
        <f>'[1]GASTOS MATRIZ'!B30</f>
        <v>130</v>
      </c>
      <c r="D33" s="381"/>
      <c r="E33" s="390"/>
      <c r="F33" s="390"/>
      <c r="G33" s="385" t="str">
        <f>'[1]GASTOS MATRIZ'!F30</f>
        <v>Asignaciones Complementarias</v>
      </c>
      <c r="H33" s="382">
        <f>SUM(H34:H39)</f>
        <v>0</v>
      </c>
      <c r="I33" s="382">
        <f aca="true" t="shared" si="6" ref="I33:S33">SUM(I34:I39)</f>
        <v>0</v>
      </c>
      <c r="J33" s="382">
        <f t="shared" si="6"/>
        <v>0</v>
      </c>
      <c r="K33" s="382">
        <f t="shared" si="6"/>
        <v>0</v>
      </c>
      <c r="L33" s="382">
        <f t="shared" si="6"/>
        <v>0</v>
      </c>
      <c r="M33" s="382">
        <f t="shared" si="6"/>
        <v>0</v>
      </c>
      <c r="N33" s="382">
        <f t="shared" si="6"/>
        <v>0</v>
      </c>
      <c r="O33" s="382">
        <f t="shared" si="6"/>
        <v>0</v>
      </c>
      <c r="P33" s="382">
        <f t="shared" si="6"/>
        <v>0</v>
      </c>
      <c r="Q33" s="382">
        <f t="shared" si="6"/>
        <v>0</v>
      </c>
      <c r="R33" s="382">
        <f t="shared" si="6"/>
        <v>0</v>
      </c>
      <c r="S33" s="382">
        <f t="shared" si="6"/>
        <v>0</v>
      </c>
      <c r="T33" s="382">
        <f>SUM(K33:P33)</f>
        <v>0</v>
      </c>
      <c r="U33" s="382">
        <f>SUM(U34:U39)</f>
        <v>0</v>
      </c>
      <c r="V33" s="382">
        <f>SUM(V34:V39)</f>
        <v>0</v>
      </c>
      <c r="W33" s="382">
        <f>SUM(W34:W39)</f>
        <v>0</v>
      </c>
      <c r="X33" s="382">
        <f>SUM(X34:X39)</f>
        <v>0</v>
      </c>
      <c r="Y33" s="382">
        <f>SUM(U33:X33)</f>
        <v>0</v>
      </c>
      <c r="Z33" s="382">
        <f t="shared" si="2"/>
        <v>0</v>
      </c>
      <c r="AA33" s="382">
        <f>SUM(AA34:AA39)</f>
        <v>0</v>
      </c>
      <c r="AB33" s="382">
        <f>SUM(AB34:AB39)</f>
        <v>0</v>
      </c>
      <c r="AC33" s="382">
        <f>SUM(AC34:AC39)</f>
        <v>0</v>
      </c>
      <c r="AD33" s="382">
        <f>SUM(AD34:AD39)</f>
        <v>0</v>
      </c>
      <c r="AE33" s="382">
        <f>SUM(AA33:AD33)</f>
        <v>0</v>
      </c>
      <c r="AF33" s="382">
        <f>SUM(AF34:AF39)</f>
        <v>0</v>
      </c>
      <c r="AG33" s="382">
        <f>SUM(AG34:AG39)</f>
        <v>0</v>
      </c>
      <c r="AH33" s="382">
        <f>SUM(AH34:AH39)</f>
        <v>0</v>
      </c>
      <c r="AI33" s="382">
        <f>SUM(AI34:AI39)</f>
        <v>0</v>
      </c>
    </row>
    <row r="34" spans="2:35" ht="15" customHeight="1" hidden="1">
      <c r="B34" s="386"/>
      <c r="C34" s="386"/>
      <c r="D34" s="386"/>
      <c r="E34" s="387"/>
      <c r="F34" s="387"/>
      <c r="G34" s="388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9"/>
      <c r="V34" s="389"/>
      <c r="W34" s="389"/>
      <c r="X34" s="389"/>
      <c r="Y34" s="389"/>
      <c r="Z34" s="389">
        <f t="shared" si="2"/>
        <v>0</v>
      </c>
      <c r="AA34" s="389"/>
      <c r="AB34" s="389"/>
      <c r="AC34" s="389"/>
      <c r="AD34" s="389"/>
      <c r="AE34" s="389"/>
      <c r="AF34" s="389"/>
      <c r="AG34" s="389"/>
      <c r="AH34" s="389"/>
      <c r="AI34" s="389"/>
    </row>
    <row r="35" spans="2:35" ht="15" customHeight="1" hidden="1">
      <c r="B35" s="386"/>
      <c r="C35" s="386"/>
      <c r="D35" s="386"/>
      <c r="E35" s="387"/>
      <c r="F35" s="387"/>
      <c r="G35" s="388"/>
      <c r="H35" s="389"/>
      <c r="I35" s="389"/>
      <c r="J35" s="389"/>
      <c r="K35" s="389"/>
      <c r="L35" s="389"/>
      <c r="M35" s="389"/>
      <c r="N35" s="389"/>
      <c r="O35" s="389"/>
      <c r="P35" s="389"/>
      <c r="Q35" s="389"/>
      <c r="R35" s="389"/>
      <c r="S35" s="389"/>
      <c r="T35" s="389"/>
      <c r="U35" s="389"/>
      <c r="V35" s="389"/>
      <c r="W35" s="389"/>
      <c r="X35" s="389"/>
      <c r="Y35" s="389"/>
      <c r="Z35" s="389">
        <f t="shared" si="2"/>
        <v>0</v>
      </c>
      <c r="AA35" s="389"/>
      <c r="AB35" s="389"/>
      <c r="AC35" s="389"/>
      <c r="AD35" s="389"/>
      <c r="AE35" s="389"/>
      <c r="AF35" s="389"/>
      <c r="AG35" s="389"/>
      <c r="AH35" s="389"/>
      <c r="AI35" s="389"/>
    </row>
    <row r="36" spans="2:35" ht="15" customHeight="1" hidden="1">
      <c r="B36" s="386"/>
      <c r="C36" s="386"/>
      <c r="D36" s="386"/>
      <c r="E36" s="387"/>
      <c r="F36" s="387"/>
      <c r="G36" s="388"/>
      <c r="H36" s="389"/>
      <c r="I36" s="389"/>
      <c r="J36" s="389"/>
      <c r="K36" s="389"/>
      <c r="L36" s="389"/>
      <c r="M36" s="389"/>
      <c r="N36" s="389"/>
      <c r="O36" s="389"/>
      <c r="P36" s="389"/>
      <c r="Q36" s="389"/>
      <c r="R36" s="389"/>
      <c r="S36" s="389"/>
      <c r="T36" s="389"/>
      <c r="U36" s="389"/>
      <c r="V36" s="389"/>
      <c r="W36" s="389"/>
      <c r="X36" s="389"/>
      <c r="Y36" s="389"/>
      <c r="Z36" s="389">
        <f t="shared" si="2"/>
        <v>0</v>
      </c>
      <c r="AA36" s="389"/>
      <c r="AB36" s="389"/>
      <c r="AC36" s="389"/>
      <c r="AD36" s="389"/>
      <c r="AE36" s="389"/>
      <c r="AF36" s="389"/>
      <c r="AG36" s="389"/>
      <c r="AH36" s="389"/>
      <c r="AI36" s="389"/>
    </row>
    <row r="37" spans="2:35" ht="15" customHeight="1" hidden="1">
      <c r="B37" s="386"/>
      <c r="C37" s="386"/>
      <c r="D37" s="386"/>
      <c r="E37" s="387"/>
      <c r="F37" s="387"/>
      <c r="G37" s="388"/>
      <c r="H37" s="389"/>
      <c r="I37" s="389"/>
      <c r="J37" s="389"/>
      <c r="K37" s="389"/>
      <c r="L37" s="389"/>
      <c r="M37" s="389"/>
      <c r="N37" s="389"/>
      <c r="O37" s="389"/>
      <c r="P37" s="389"/>
      <c r="Q37" s="389"/>
      <c r="R37" s="389"/>
      <c r="S37" s="389"/>
      <c r="T37" s="389"/>
      <c r="U37" s="389"/>
      <c r="V37" s="389"/>
      <c r="W37" s="389"/>
      <c r="X37" s="389"/>
      <c r="Y37" s="389"/>
      <c r="Z37" s="389">
        <f t="shared" si="2"/>
        <v>0</v>
      </c>
      <c r="AA37" s="389"/>
      <c r="AB37" s="389"/>
      <c r="AC37" s="389"/>
      <c r="AD37" s="389"/>
      <c r="AE37" s="389"/>
      <c r="AF37" s="389"/>
      <c r="AG37" s="389"/>
      <c r="AH37" s="389"/>
      <c r="AI37" s="389"/>
    </row>
    <row r="38" spans="2:35" ht="15" customHeight="1" hidden="1">
      <c r="B38" s="386"/>
      <c r="C38" s="386"/>
      <c r="D38" s="386"/>
      <c r="E38" s="387"/>
      <c r="F38" s="387"/>
      <c r="G38" s="388"/>
      <c r="H38" s="389"/>
      <c r="I38" s="389"/>
      <c r="J38" s="389"/>
      <c r="K38" s="389"/>
      <c r="L38" s="389"/>
      <c r="M38" s="389"/>
      <c r="N38" s="389"/>
      <c r="O38" s="389"/>
      <c r="P38" s="389"/>
      <c r="Q38" s="389"/>
      <c r="R38" s="389"/>
      <c r="S38" s="389"/>
      <c r="T38" s="389"/>
      <c r="U38" s="389"/>
      <c r="V38" s="389"/>
      <c r="W38" s="389"/>
      <c r="X38" s="389"/>
      <c r="Y38" s="389"/>
      <c r="Z38" s="389">
        <f t="shared" si="2"/>
        <v>0</v>
      </c>
      <c r="AA38" s="389"/>
      <c r="AB38" s="389"/>
      <c r="AC38" s="389"/>
      <c r="AD38" s="389"/>
      <c r="AE38" s="389"/>
      <c r="AF38" s="389"/>
      <c r="AG38" s="389"/>
      <c r="AH38" s="389"/>
      <c r="AI38" s="389"/>
    </row>
    <row r="39" spans="2:35" ht="15" customHeight="1" hidden="1">
      <c r="B39" s="386"/>
      <c r="C39" s="386"/>
      <c r="D39" s="386"/>
      <c r="E39" s="387"/>
      <c r="F39" s="387"/>
      <c r="G39" s="388"/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89"/>
      <c r="S39" s="389"/>
      <c r="T39" s="389"/>
      <c r="U39" s="389"/>
      <c r="V39" s="389"/>
      <c r="W39" s="389"/>
      <c r="X39" s="389"/>
      <c r="Y39" s="389"/>
      <c r="Z39" s="389">
        <f t="shared" si="2"/>
        <v>0</v>
      </c>
      <c r="AA39" s="389"/>
      <c r="AB39" s="389"/>
      <c r="AC39" s="389"/>
      <c r="AD39" s="389"/>
      <c r="AE39" s="389"/>
      <c r="AF39" s="389"/>
      <c r="AG39" s="389"/>
      <c r="AH39" s="389"/>
      <c r="AI39" s="389"/>
    </row>
    <row r="40" spans="2:35" ht="15" customHeight="1" hidden="1">
      <c r="B40" s="386"/>
      <c r="C40" s="386"/>
      <c r="D40" s="386"/>
      <c r="E40" s="387"/>
      <c r="F40" s="387"/>
      <c r="G40" s="388"/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89"/>
      <c r="X40" s="389"/>
      <c r="Y40" s="389"/>
      <c r="Z40" s="389">
        <f t="shared" si="2"/>
        <v>0</v>
      </c>
      <c r="AA40" s="389"/>
      <c r="AB40" s="389"/>
      <c r="AC40" s="389"/>
      <c r="AD40" s="389"/>
      <c r="AE40" s="389"/>
      <c r="AF40" s="389"/>
      <c r="AG40" s="389"/>
      <c r="AH40" s="389"/>
      <c r="AI40" s="389"/>
    </row>
    <row r="41" spans="2:35" ht="14.25">
      <c r="B41" s="381"/>
      <c r="C41" s="381">
        <f>'[1]GASTOS MATRIZ'!B38</f>
        <v>140</v>
      </c>
      <c r="D41" s="381"/>
      <c r="E41" s="390"/>
      <c r="F41" s="390"/>
      <c r="G41" s="385" t="str">
        <f>'[1]GASTOS MATRIZ'!F38</f>
        <v>Personal Contratado</v>
      </c>
      <c r="H41" s="382">
        <f>SUM(H42:H53)</f>
        <v>177390000</v>
      </c>
      <c r="I41" s="382">
        <f aca="true" t="shared" si="7" ref="I41:S41">SUM(I42:I53)</f>
        <v>-29653333</v>
      </c>
      <c r="J41" s="382">
        <f t="shared" si="7"/>
        <v>147736667</v>
      </c>
      <c r="K41" s="382">
        <f t="shared" si="7"/>
        <v>0</v>
      </c>
      <c r="L41" s="382">
        <f t="shared" si="7"/>
        <v>2340000</v>
      </c>
      <c r="M41" s="382">
        <f t="shared" si="7"/>
        <v>6500000</v>
      </c>
      <c r="N41" s="382">
        <f t="shared" si="7"/>
        <v>19316000</v>
      </c>
      <c r="O41" s="382">
        <f t="shared" si="7"/>
        <v>28156000</v>
      </c>
      <c r="P41" s="382">
        <f>SUM(P42:P53)</f>
        <v>44800000</v>
      </c>
      <c r="Q41" s="382">
        <f t="shared" si="7"/>
        <v>25000000</v>
      </c>
      <c r="R41" s="382">
        <f t="shared" si="7"/>
        <v>19800000</v>
      </c>
      <c r="S41" s="382">
        <f t="shared" si="7"/>
        <v>9900000</v>
      </c>
      <c r="T41" s="382">
        <f>SUM(K41:P41)</f>
        <v>101112000</v>
      </c>
      <c r="U41" s="382">
        <f>SUM(U42:U53)</f>
        <v>0</v>
      </c>
      <c r="V41" s="382">
        <f>SUM(V42:V53)</f>
        <v>0</v>
      </c>
      <c r="W41" s="382">
        <f>SUM(W42:W53)</f>
        <v>0</v>
      </c>
      <c r="X41" s="382">
        <f>SUM(X42:X53)</f>
        <v>0</v>
      </c>
      <c r="Y41" s="382">
        <f>SUM(U41:X41)</f>
        <v>0</v>
      </c>
      <c r="Z41" s="382">
        <f t="shared" si="2"/>
        <v>101112000</v>
      </c>
      <c r="AA41" s="382">
        <f>SUM(AA42:AA53)</f>
        <v>0</v>
      </c>
      <c r="AB41" s="382">
        <f>SUM(AB42:AB53)</f>
        <v>0</v>
      </c>
      <c r="AC41" s="382">
        <f>SUM(AC42:AC53)</f>
        <v>0</v>
      </c>
      <c r="AD41" s="382">
        <f>SUM(AD42:AD53)</f>
        <v>0</v>
      </c>
      <c r="AE41" s="382">
        <f>SUM(AA41:AD41)</f>
        <v>0</v>
      </c>
      <c r="AF41" s="382">
        <f>SUM(AF42:AF53)</f>
        <v>127656000</v>
      </c>
      <c r="AG41" s="382">
        <f>SUM(AG42:AG53)</f>
        <v>20080667</v>
      </c>
      <c r="AH41" s="382">
        <f>SUM(AH42:AH53)</f>
        <v>127656000</v>
      </c>
      <c r="AI41" s="382">
        <f>SUM(AI42:AI53)</f>
        <v>0</v>
      </c>
    </row>
    <row r="42" spans="2:35" ht="15" customHeight="1" hidden="1">
      <c r="B42" s="386"/>
      <c r="C42" s="386"/>
      <c r="D42" s="386">
        <f>'[1]GASTOS MATRIZ'!C39</f>
        <v>141</v>
      </c>
      <c r="E42" s="387" t="str">
        <f>'[1]GASTOS MATRIZ'!D39</f>
        <v>30</v>
      </c>
      <c r="F42" s="387" t="str">
        <f>'[1]GASTOS MATRIZ'!E39</f>
        <v>011</v>
      </c>
      <c r="G42" s="388" t="str">
        <f>'[1]GASTOS MATRIZ'!F39</f>
        <v>Contratación de Personal Técnico</v>
      </c>
      <c r="H42" s="389">
        <f>'[1]GASTOS MATRIZ'!G39</f>
        <v>0</v>
      </c>
      <c r="I42" s="389">
        <f>'[1]GASTOS MATRIZ'!H39</f>
        <v>0</v>
      </c>
      <c r="J42" s="389">
        <f>H42+I42</f>
        <v>0</v>
      </c>
      <c r="K42" s="389">
        <f>'[1]RESU X MES'!H30</f>
        <v>0</v>
      </c>
      <c r="L42" s="389">
        <f>'[1]RESU X MES'!H288</f>
        <v>0</v>
      </c>
      <c r="M42" s="389">
        <f>'[1]RESU X MES'!H547</f>
        <v>0</v>
      </c>
      <c r="N42" s="389"/>
      <c r="O42" s="389">
        <f>SUM(E42:J42)</f>
        <v>0</v>
      </c>
      <c r="P42" s="389"/>
      <c r="Q42" s="389"/>
      <c r="R42" s="389"/>
      <c r="S42" s="389"/>
      <c r="T42" s="389">
        <f>SUM(K42:P42)</f>
        <v>0</v>
      </c>
      <c r="U42" s="389">
        <f>'[1]RESU X MES'!H1071</f>
        <v>0</v>
      </c>
      <c r="V42" s="389">
        <f>'[1]RESU X MES'!H1333</f>
        <v>0</v>
      </c>
      <c r="W42" s="389">
        <f>'[1]RESU X MES'!H1596</f>
        <v>0</v>
      </c>
      <c r="X42" s="389">
        <f>'[1]RESU X MES'!H1857</f>
        <v>0</v>
      </c>
      <c r="Y42" s="389">
        <f>SUM(U42:X42)</f>
        <v>0</v>
      </c>
      <c r="Z42" s="389">
        <f t="shared" si="2"/>
        <v>0</v>
      </c>
      <c r="AA42" s="389">
        <f>'[1]RESU X MES'!H2116</f>
        <v>0</v>
      </c>
      <c r="AB42" s="389">
        <f>'[1]RESU X MES'!H2378</f>
        <v>0</v>
      </c>
      <c r="AC42" s="389">
        <f>'[1]RESU X MES'!H2640</f>
        <v>0</v>
      </c>
      <c r="AD42" s="389">
        <f>'[1]RESU X MES'!H2903</f>
        <v>0</v>
      </c>
      <c r="AE42" s="389">
        <f>SUM(AA42:AD42)</f>
        <v>0</v>
      </c>
      <c r="AF42" s="389">
        <f>T42+Y42+AE42</f>
        <v>0</v>
      </c>
      <c r="AG42" s="389">
        <f>J42-AF42</f>
        <v>0</v>
      </c>
      <c r="AH42" s="389">
        <f>AF42-AI42</f>
        <v>0</v>
      </c>
      <c r="AI42" s="389">
        <f>'[1]RESU X MES'!N30+'[1]RESU X MES'!N288+'[1]RESU X MES'!N547+'[1]RESU X MES'!N810+'[1]RESU X MES'!N1071+'[1]RESU X MES'!N1333+'[1]RESU X MES'!N1596+'[1]RESU X MES'!N1857+'[1]RESU X MES'!N2116+'[1]RESU X MES'!N2378+'[1]RESU X MES'!N2640+'[1]RESU X MES'!N2903</f>
        <v>0</v>
      </c>
    </row>
    <row r="43" spans="2:35" ht="15" customHeight="1" hidden="1">
      <c r="B43" s="386"/>
      <c r="C43" s="386"/>
      <c r="D43" s="386"/>
      <c r="E43" s="387"/>
      <c r="F43" s="387"/>
      <c r="G43" s="388"/>
      <c r="H43" s="389"/>
      <c r="I43" s="389"/>
      <c r="J43" s="389"/>
      <c r="K43" s="389"/>
      <c r="L43" s="389"/>
      <c r="M43" s="389"/>
      <c r="N43" s="389"/>
      <c r="O43" s="389"/>
      <c r="P43" s="389"/>
      <c r="Q43" s="389"/>
      <c r="R43" s="389"/>
      <c r="S43" s="389"/>
      <c r="T43" s="389"/>
      <c r="U43" s="389"/>
      <c r="V43" s="389"/>
      <c r="W43" s="389"/>
      <c r="X43" s="389"/>
      <c r="Y43" s="389"/>
      <c r="Z43" s="389">
        <f t="shared" si="2"/>
        <v>0</v>
      </c>
      <c r="AA43" s="389"/>
      <c r="AB43" s="389"/>
      <c r="AC43" s="389"/>
      <c r="AD43" s="389"/>
      <c r="AE43" s="389"/>
      <c r="AF43" s="389"/>
      <c r="AG43" s="389"/>
      <c r="AH43" s="389"/>
      <c r="AI43" s="389"/>
    </row>
    <row r="44" spans="2:35" ht="15" customHeight="1" hidden="1">
      <c r="B44" s="386"/>
      <c r="C44" s="386"/>
      <c r="D44" s="386"/>
      <c r="E44" s="387"/>
      <c r="F44" s="387"/>
      <c r="G44" s="388"/>
      <c r="H44" s="389"/>
      <c r="I44" s="389"/>
      <c r="J44" s="389"/>
      <c r="K44" s="389"/>
      <c r="L44" s="389"/>
      <c r="M44" s="389"/>
      <c r="N44" s="389"/>
      <c r="O44" s="389"/>
      <c r="P44" s="389"/>
      <c r="Q44" s="389"/>
      <c r="R44" s="389"/>
      <c r="S44" s="389"/>
      <c r="T44" s="389"/>
      <c r="U44" s="389"/>
      <c r="V44" s="389"/>
      <c r="W44" s="389"/>
      <c r="X44" s="389"/>
      <c r="Y44" s="389"/>
      <c r="Z44" s="389">
        <f t="shared" si="2"/>
        <v>0</v>
      </c>
      <c r="AA44" s="389"/>
      <c r="AB44" s="389"/>
      <c r="AC44" s="389"/>
      <c r="AD44" s="389"/>
      <c r="AE44" s="389"/>
      <c r="AF44" s="389"/>
      <c r="AG44" s="389"/>
      <c r="AH44" s="389"/>
      <c r="AI44" s="389"/>
    </row>
    <row r="45" spans="2:35" ht="15" customHeight="1" hidden="1">
      <c r="B45" s="386"/>
      <c r="C45" s="386"/>
      <c r="D45" s="386"/>
      <c r="E45" s="387"/>
      <c r="F45" s="387"/>
      <c r="G45" s="388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389">
        <f t="shared" si="2"/>
        <v>0</v>
      </c>
      <c r="AA45" s="389"/>
      <c r="AB45" s="389"/>
      <c r="AC45" s="389"/>
      <c r="AD45" s="389"/>
      <c r="AE45" s="389"/>
      <c r="AF45" s="389"/>
      <c r="AG45" s="389"/>
      <c r="AH45" s="389"/>
      <c r="AI45" s="389"/>
    </row>
    <row r="46" spans="2:35" ht="14.25">
      <c r="B46" s="386"/>
      <c r="C46" s="386"/>
      <c r="D46" s="386">
        <f>'[1]GASTOS MATRIZ'!C43</f>
        <v>145</v>
      </c>
      <c r="E46" s="387" t="str">
        <f>'[1]GASTOS MATRIZ'!D43</f>
        <v>30</v>
      </c>
      <c r="F46" s="387" t="str">
        <f>'[1]GASTOS MATRIZ'!E43</f>
        <v>011</v>
      </c>
      <c r="G46" s="388" t="str">
        <f>'[1]GASTOS MATRIZ'!F43</f>
        <v>Honorarios Profesionales</v>
      </c>
      <c r="H46" s="389">
        <f>'[1]GASTOS MATRIZ'!G43</f>
        <v>40500000</v>
      </c>
      <c r="I46" s="389">
        <v>16000000</v>
      </c>
      <c r="J46" s="389">
        <f>H46+I46</f>
        <v>56500000</v>
      </c>
      <c r="K46" s="389">
        <f>'[1]RESU X MES'!H34</f>
        <v>0</v>
      </c>
      <c r="L46" s="389">
        <f>'[1]RESU X MES'!H292</f>
        <v>0</v>
      </c>
      <c r="M46" s="389">
        <f>'[1]RESU X MES'!H551</f>
        <v>6500000</v>
      </c>
      <c r="N46" s="389">
        <v>0</v>
      </c>
      <c r="O46" s="389">
        <f>+K46+L46+M46+N46</f>
        <v>6500000</v>
      </c>
      <c r="P46" s="389">
        <v>25000000</v>
      </c>
      <c r="Q46" s="389">
        <v>25000000</v>
      </c>
      <c r="R46" s="389">
        <v>0</v>
      </c>
      <c r="S46" s="389">
        <v>0</v>
      </c>
      <c r="T46" s="389">
        <f>SUM(K46:P46)</f>
        <v>38000000</v>
      </c>
      <c r="U46" s="389">
        <f>'[1]RESU X MES'!H1075</f>
        <v>0</v>
      </c>
      <c r="V46" s="389">
        <f>'[1]RESU X MES'!H1337</f>
        <v>0</v>
      </c>
      <c r="W46" s="389">
        <f>'[1]RESU X MES'!H1600</f>
        <v>0</v>
      </c>
      <c r="X46" s="389">
        <f>'[1]RESU X MES'!H1861</f>
        <v>0</v>
      </c>
      <c r="Y46" s="389">
        <f>SUM(U46:X46)</f>
        <v>0</v>
      </c>
      <c r="Z46" s="389">
        <f t="shared" si="2"/>
        <v>38000000</v>
      </c>
      <c r="AA46" s="389">
        <f>'[1]RESU X MES'!H2120</f>
        <v>0</v>
      </c>
      <c r="AB46" s="389">
        <f>'[1]RESU X MES'!H2382</f>
        <v>0</v>
      </c>
      <c r="AC46" s="389">
        <f>'[1]RESU X MES'!H2644</f>
        <v>0</v>
      </c>
      <c r="AD46" s="389">
        <f>'[1]RESU X MES'!H2907</f>
        <v>0</v>
      </c>
      <c r="AE46" s="389">
        <f>SUM(AA46:AD46)</f>
        <v>0</v>
      </c>
      <c r="AF46" s="389">
        <f>+O46+P46+Q46+R46+S46</f>
        <v>56500000</v>
      </c>
      <c r="AG46" s="389">
        <f>J46-AF46</f>
        <v>0</v>
      </c>
      <c r="AH46" s="389">
        <f>AF46-AI46</f>
        <v>56500000</v>
      </c>
      <c r="AI46" s="389">
        <f>'[1]RESU X MES'!N34+'[1]RESU X MES'!N292+'[1]RESU X MES'!N551+'[1]RESU X MES'!N814+'[1]RESU X MES'!N1075+'[1]RESU X MES'!N1337+'[1]RESU X MES'!N1600+'[1]RESU X MES'!N1861+'[1]RESU X MES'!N2120+'[1]RESU X MES'!N2382+'[1]RESU X MES'!N2644+'[1]RESU X MES'!N2907</f>
        <v>0</v>
      </c>
    </row>
    <row r="47" spans="2:35" ht="15" customHeight="1" hidden="1">
      <c r="B47" s="386"/>
      <c r="C47" s="386"/>
      <c r="D47" s="386"/>
      <c r="E47" s="387"/>
      <c r="F47" s="387"/>
      <c r="G47" s="388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389"/>
      <c r="T47" s="389"/>
      <c r="U47" s="389"/>
      <c r="V47" s="389"/>
      <c r="W47" s="389"/>
      <c r="X47" s="389"/>
      <c r="Y47" s="389"/>
      <c r="Z47" s="389">
        <f t="shared" si="2"/>
        <v>0</v>
      </c>
      <c r="AA47" s="389"/>
      <c r="AB47" s="389"/>
      <c r="AC47" s="389"/>
      <c r="AD47" s="389"/>
      <c r="AE47" s="389"/>
      <c r="AF47" s="389">
        <f aca="true" t="shared" si="8" ref="AF47:AF110">+O47+P47+Q47+R47+S47</f>
        <v>0</v>
      </c>
      <c r="AG47" s="389"/>
      <c r="AH47" s="389"/>
      <c r="AI47" s="389"/>
    </row>
    <row r="48" spans="2:35" ht="15" customHeight="1" hidden="1">
      <c r="B48" s="386"/>
      <c r="C48" s="386"/>
      <c r="D48" s="386"/>
      <c r="E48" s="387"/>
      <c r="F48" s="387"/>
      <c r="G48" s="388"/>
      <c r="H48" s="389"/>
      <c r="I48" s="389"/>
      <c r="J48" s="389"/>
      <c r="K48" s="389"/>
      <c r="L48" s="389"/>
      <c r="M48" s="389"/>
      <c r="N48" s="389"/>
      <c r="O48" s="389"/>
      <c r="P48" s="389"/>
      <c r="Q48" s="389"/>
      <c r="R48" s="389"/>
      <c r="S48" s="389"/>
      <c r="T48" s="389"/>
      <c r="U48" s="389"/>
      <c r="V48" s="389"/>
      <c r="W48" s="389"/>
      <c r="X48" s="389"/>
      <c r="Y48" s="389"/>
      <c r="Z48" s="389">
        <f t="shared" si="2"/>
        <v>0</v>
      </c>
      <c r="AA48" s="389"/>
      <c r="AB48" s="389"/>
      <c r="AC48" s="389"/>
      <c r="AD48" s="389"/>
      <c r="AE48" s="389"/>
      <c r="AF48" s="389">
        <f t="shared" si="8"/>
        <v>0</v>
      </c>
      <c r="AG48" s="389"/>
      <c r="AH48" s="389"/>
      <c r="AI48" s="389"/>
    </row>
    <row r="49" spans="2:35" ht="15" customHeight="1" hidden="1">
      <c r="B49" s="386"/>
      <c r="C49" s="386"/>
      <c r="D49" s="386"/>
      <c r="E49" s="387"/>
      <c r="F49" s="387"/>
      <c r="G49" s="388"/>
      <c r="H49" s="389"/>
      <c r="I49" s="389"/>
      <c r="J49" s="389"/>
      <c r="K49" s="389"/>
      <c r="L49" s="389"/>
      <c r="M49" s="389"/>
      <c r="N49" s="389"/>
      <c r="O49" s="389"/>
      <c r="P49" s="389"/>
      <c r="Q49" s="389"/>
      <c r="R49" s="389"/>
      <c r="S49" s="389"/>
      <c r="T49" s="389"/>
      <c r="U49" s="389"/>
      <c r="V49" s="389"/>
      <c r="W49" s="389"/>
      <c r="X49" s="389"/>
      <c r="Y49" s="389"/>
      <c r="Z49" s="389">
        <f t="shared" si="2"/>
        <v>0</v>
      </c>
      <c r="AA49" s="389"/>
      <c r="AB49" s="389"/>
      <c r="AC49" s="389"/>
      <c r="AD49" s="389"/>
      <c r="AE49" s="389"/>
      <c r="AF49" s="389">
        <f t="shared" si="8"/>
        <v>0</v>
      </c>
      <c r="AG49" s="389"/>
      <c r="AH49" s="389"/>
      <c r="AI49" s="389"/>
    </row>
    <row r="50" spans="2:35" ht="14.25">
      <c r="B50" s="386"/>
      <c r="C50" s="386"/>
      <c r="D50" s="386">
        <f>'[1]GASTOS MATRIZ'!C47</f>
        <v>144</v>
      </c>
      <c r="E50" s="387" t="str">
        <f>'[1]GASTOS MATRIZ'!D47</f>
        <v>30</v>
      </c>
      <c r="F50" s="387" t="str">
        <f>'[1]GASTOS MATRIZ'!E47</f>
        <v>011</v>
      </c>
      <c r="G50" s="388" t="str">
        <f>'[1]GASTOS MATRIZ'!F47</f>
        <v>Jornales</v>
      </c>
      <c r="H50" s="389">
        <f>'[1]GASTOS MATRIZ'!G47</f>
        <v>136890000</v>
      </c>
      <c r="I50" s="389">
        <v>-45653333</v>
      </c>
      <c r="J50" s="389">
        <f>H50+I50</f>
        <v>91236667</v>
      </c>
      <c r="K50" s="389">
        <f>'[1]RESU X MES'!H38</f>
        <v>0</v>
      </c>
      <c r="L50" s="389">
        <f>'[1]RESU X MES'!H296</f>
        <v>2340000</v>
      </c>
      <c r="M50" s="389">
        <f>'[1]RESU X MES'!H555</f>
        <v>0</v>
      </c>
      <c r="N50" s="389">
        <v>19316000</v>
      </c>
      <c r="O50" s="389">
        <f>+K50+L50+M50+N50</f>
        <v>21656000</v>
      </c>
      <c r="P50" s="389">
        <v>19800000</v>
      </c>
      <c r="Q50" s="389">
        <v>0</v>
      </c>
      <c r="R50" s="389">
        <f>9900000+9900000</f>
        <v>19800000</v>
      </c>
      <c r="S50" s="389">
        <v>9900000</v>
      </c>
      <c r="T50" s="389">
        <f>SUM(K50:P50)</f>
        <v>63112000</v>
      </c>
      <c r="U50" s="389">
        <f>'[1]RESU X MES'!H1079</f>
        <v>0</v>
      </c>
      <c r="V50" s="389">
        <f>'[1]RESU X MES'!H1341</f>
        <v>0</v>
      </c>
      <c r="W50" s="389">
        <f>'[1]RESU X MES'!H1604</f>
        <v>0</v>
      </c>
      <c r="X50" s="389">
        <f>'[1]RESU X MES'!H1865</f>
        <v>0</v>
      </c>
      <c r="Y50" s="389">
        <f>SUM(U50:X50)</f>
        <v>0</v>
      </c>
      <c r="Z50" s="389">
        <f t="shared" si="2"/>
        <v>63112000</v>
      </c>
      <c r="AA50" s="389">
        <f>'[1]RESU X MES'!H2124</f>
        <v>0</v>
      </c>
      <c r="AB50" s="389">
        <f>'[1]RESU X MES'!H2386</f>
        <v>0</v>
      </c>
      <c r="AC50" s="389">
        <f>'[1]RESU X MES'!H2648</f>
        <v>0</v>
      </c>
      <c r="AD50" s="389">
        <f>'[1]RESU X MES'!H2911</f>
        <v>0</v>
      </c>
      <c r="AE50" s="389">
        <f>SUM(AA50:AD50)</f>
        <v>0</v>
      </c>
      <c r="AF50" s="389">
        <f t="shared" si="8"/>
        <v>71156000</v>
      </c>
      <c r="AG50" s="389">
        <f>J50-AF50</f>
        <v>20080667</v>
      </c>
      <c r="AH50" s="389">
        <f>AF50-AI50</f>
        <v>71156000</v>
      </c>
      <c r="AI50" s="389">
        <f>'[1]RESU X MES'!N38+'[1]RESU X MES'!N296+'[1]RESU X MES'!N555+'[1]RESU X MES'!N818+'[1]RESU X MES'!N1079+'[1]RESU X MES'!N1341+'[1]RESU X MES'!N1604+'[1]RESU X MES'!N1865+'[1]RESU X MES'!N2124+'[1]RESU X MES'!N2386+'[1]RESU X MES'!N2648+'[1]RESU X MES'!N2911</f>
        <v>0</v>
      </c>
    </row>
    <row r="51" spans="2:35" ht="15" customHeight="1" hidden="1">
      <c r="B51" s="386"/>
      <c r="C51" s="386"/>
      <c r="D51" s="386"/>
      <c r="E51" s="387"/>
      <c r="F51" s="387"/>
      <c r="G51" s="388"/>
      <c r="H51" s="389"/>
      <c r="I51" s="389"/>
      <c r="J51" s="389"/>
      <c r="K51" s="389"/>
      <c r="L51" s="389"/>
      <c r="M51" s="389"/>
      <c r="N51" s="389"/>
      <c r="O51" s="389"/>
      <c r="P51" s="389"/>
      <c r="Q51" s="389"/>
      <c r="R51" s="389"/>
      <c r="S51" s="389"/>
      <c r="T51" s="389"/>
      <c r="U51" s="389"/>
      <c r="V51" s="389"/>
      <c r="W51" s="389"/>
      <c r="X51" s="389"/>
      <c r="Y51" s="389"/>
      <c r="Z51" s="389">
        <f t="shared" si="2"/>
        <v>0</v>
      </c>
      <c r="AA51" s="389"/>
      <c r="AB51" s="389"/>
      <c r="AC51" s="389"/>
      <c r="AD51" s="389"/>
      <c r="AE51" s="389"/>
      <c r="AF51" s="389">
        <f t="shared" si="8"/>
        <v>0</v>
      </c>
      <c r="AG51" s="389"/>
      <c r="AH51" s="389"/>
      <c r="AI51" s="389"/>
    </row>
    <row r="52" spans="2:35" ht="15" customHeight="1" hidden="1">
      <c r="B52" s="386"/>
      <c r="C52" s="386"/>
      <c r="D52" s="386"/>
      <c r="E52" s="387"/>
      <c r="F52" s="387"/>
      <c r="G52" s="388"/>
      <c r="H52" s="389"/>
      <c r="I52" s="389"/>
      <c r="J52" s="389"/>
      <c r="K52" s="389"/>
      <c r="L52" s="389"/>
      <c r="M52" s="389"/>
      <c r="N52" s="389"/>
      <c r="O52" s="389"/>
      <c r="P52" s="389"/>
      <c r="Q52" s="389"/>
      <c r="R52" s="389"/>
      <c r="S52" s="389"/>
      <c r="T52" s="389"/>
      <c r="U52" s="389"/>
      <c r="V52" s="389"/>
      <c r="W52" s="389"/>
      <c r="X52" s="389"/>
      <c r="Y52" s="389"/>
      <c r="Z52" s="389">
        <f t="shared" si="2"/>
        <v>0</v>
      </c>
      <c r="AA52" s="389"/>
      <c r="AB52" s="389"/>
      <c r="AC52" s="389"/>
      <c r="AD52" s="389"/>
      <c r="AE52" s="389"/>
      <c r="AF52" s="389">
        <f t="shared" si="8"/>
        <v>0</v>
      </c>
      <c r="AG52" s="389"/>
      <c r="AH52" s="389"/>
      <c r="AI52" s="389"/>
    </row>
    <row r="53" spans="2:35" ht="14.25">
      <c r="B53" s="386"/>
      <c r="C53" s="386"/>
      <c r="D53" s="386"/>
      <c r="E53" s="387"/>
      <c r="F53" s="387"/>
      <c r="G53" s="388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9"/>
      <c r="T53" s="389"/>
      <c r="U53" s="389"/>
      <c r="V53" s="389"/>
      <c r="W53" s="389"/>
      <c r="X53" s="389"/>
      <c r="Y53" s="389"/>
      <c r="Z53" s="389">
        <f t="shared" si="2"/>
        <v>0</v>
      </c>
      <c r="AA53" s="389"/>
      <c r="AB53" s="389"/>
      <c r="AC53" s="389"/>
      <c r="AD53" s="389"/>
      <c r="AE53" s="389"/>
      <c r="AF53" s="389">
        <f t="shared" si="8"/>
        <v>0</v>
      </c>
      <c r="AG53" s="389"/>
      <c r="AH53" s="389"/>
      <c r="AI53" s="389"/>
    </row>
    <row r="54" spans="2:35" ht="14.25">
      <c r="B54" s="381"/>
      <c r="C54" s="381">
        <f>'[1]GASTOS MATRIZ'!B51</f>
        <v>190</v>
      </c>
      <c r="D54" s="381"/>
      <c r="E54" s="390"/>
      <c r="F54" s="390"/>
      <c r="G54" s="385" t="str">
        <f>'[1]GASTOS MATRIZ'!F51</f>
        <v>Otros Gastos del Personal</v>
      </c>
      <c r="H54" s="382">
        <f aca="true" t="shared" si="9" ref="H54:S54">SUM(H55:H57)</f>
        <v>0</v>
      </c>
      <c r="I54" s="382">
        <f t="shared" si="9"/>
        <v>2263333</v>
      </c>
      <c r="J54" s="382">
        <f t="shared" si="9"/>
        <v>2263333</v>
      </c>
      <c r="K54" s="382">
        <f t="shared" si="9"/>
        <v>0</v>
      </c>
      <c r="L54" s="382">
        <f t="shared" si="9"/>
        <v>2263333</v>
      </c>
      <c r="M54" s="382">
        <f t="shared" si="9"/>
        <v>0</v>
      </c>
      <c r="N54" s="382">
        <f t="shared" si="9"/>
        <v>0</v>
      </c>
      <c r="O54" s="382">
        <f t="shared" si="9"/>
        <v>2263333</v>
      </c>
      <c r="P54" s="382">
        <f>SUM(P55:P57)</f>
        <v>0</v>
      </c>
      <c r="Q54" s="382">
        <f t="shared" si="9"/>
        <v>0</v>
      </c>
      <c r="R54" s="382">
        <f t="shared" si="9"/>
        <v>0</v>
      </c>
      <c r="S54" s="382">
        <f t="shared" si="9"/>
        <v>0</v>
      </c>
      <c r="T54" s="382">
        <f>SUM(K54:P54)</f>
        <v>4526666</v>
      </c>
      <c r="U54" s="382">
        <f>SUM(U55:U57)</f>
        <v>0</v>
      </c>
      <c r="V54" s="382">
        <f>SUM(V55:V57)</f>
        <v>0</v>
      </c>
      <c r="W54" s="382">
        <f>SUM(W55:W57)</f>
        <v>0</v>
      </c>
      <c r="X54" s="382">
        <f>SUM(X55:X57)</f>
        <v>0</v>
      </c>
      <c r="Y54" s="382">
        <f>SUM(U54:X54)</f>
        <v>0</v>
      </c>
      <c r="Z54" s="382">
        <f t="shared" si="2"/>
        <v>4526666</v>
      </c>
      <c r="AA54" s="382">
        <f>SUM(AA55:AA57)</f>
        <v>0</v>
      </c>
      <c r="AB54" s="382">
        <f>SUM(AB55:AB57)</f>
        <v>0</v>
      </c>
      <c r="AC54" s="382">
        <f>SUM(AC55:AC57)</f>
        <v>0</v>
      </c>
      <c r="AD54" s="382">
        <f>SUM(AD55:AD57)</f>
        <v>0</v>
      </c>
      <c r="AE54" s="382">
        <f>SUM(AA54:AD54)</f>
        <v>0</v>
      </c>
      <c r="AF54" s="382">
        <f t="shared" si="8"/>
        <v>2263333</v>
      </c>
      <c r="AG54" s="382">
        <f>SUM(AG55:AG57)</f>
        <v>0</v>
      </c>
      <c r="AH54" s="382">
        <f>SUM(AH55:AH57)</f>
        <v>2263333</v>
      </c>
      <c r="AI54" s="382">
        <f>SUM(AI55:AI57)</f>
        <v>0</v>
      </c>
    </row>
    <row r="55" spans="2:35" ht="14.25">
      <c r="B55" s="386"/>
      <c r="C55" s="386"/>
      <c r="D55" s="386">
        <f>'[1]GASTOS MATRIZ'!C52</f>
        <v>199</v>
      </c>
      <c r="E55" s="387" t="str">
        <f>'[1]GASTOS MATRIZ'!D52</f>
        <v>30</v>
      </c>
      <c r="F55" s="387" t="str">
        <f>'[1]GASTOS MATRIZ'!E52</f>
        <v>011</v>
      </c>
      <c r="G55" s="388" t="str">
        <f>'[1]GASTOS MATRIZ'!F52</f>
        <v>Otros Gastos del Personal</v>
      </c>
      <c r="H55" s="389">
        <f>'[1]GASTOS MATRIZ'!G52</f>
        <v>0</v>
      </c>
      <c r="I55" s="389">
        <f>'[1]GASTOS MATRIZ'!H52</f>
        <v>2263333</v>
      </c>
      <c r="J55" s="389">
        <f>H55+I55</f>
        <v>2263333</v>
      </c>
      <c r="K55" s="389">
        <f>'[1]RESU X MES'!H43</f>
        <v>0</v>
      </c>
      <c r="L55" s="389">
        <f>'[1]RESU X MES'!H301</f>
        <v>2263333</v>
      </c>
      <c r="M55" s="389">
        <f>'[1]RESU X MES'!H560</f>
        <v>0</v>
      </c>
      <c r="N55" s="389">
        <v>0</v>
      </c>
      <c r="O55" s="389">
        <f>+K55+L55+M55+N55</f>
        <v>2263333</v>
      </c>
      <c r="P55" s="389">
        <v>0</v>
      </c>
      <c r="Q55" s="389">
        <v>0</v>
      </c>
      <c r="R55" s="389"/>
      <c r="S55" s="389"/>
      <c r="T55" s="389">
        <f>SUM(K55:P55)</f>
        <v>4526666</v>
      </c>
      <c r="U55" s="389">
        <f>'[1]RESU X MES'!H1084</f>
        <v>0</v>
      </c>
      <c r="V55" s="389">
        <f>'[1]RESU X MES'!H1346</f>
        <v>0</v>
      </c>
      <c r="W55" s="389">
        <f>'[1]RESU X MES'!H1609</f>
        <v>0</v>
      </c>
      <c r="X55" s="389">
        <f>'[1]RESU X MES'!H1870</f>
        <v>0</v>
      </c>
      <c r="Y55" s="389">
        <f>SUM(U55:X55)</f>
        <v>0</v>
      </c>
      <c r="Z55" s="389">
        <f t="shared" si="2"/>
        <v>4526666</v>
      </c>
      <c r="AA55" s="389">
        <f>'[1]RESU X MES'!H2129</f>
        <v>0</v>
      </c>
      <c r="AB55" s="389">
        <f>'[1]RESU X MES'!H2391</f>
        <v>0</v>
      </c>
      <c r="AC55" s="389">
        <f>'[1]RESU X MES'!H2653</f>
        <v>0</v>
      </c>
      <c r="AD55" s="389">
        <f>'[1]RESU X MES'!H2916</f>
        <v>0</v>
      </c>
      <c r="AE55" s="389">
        <f>SUM(AA55:AD55)</f>
        <v>0</v>
      </c>
      <c r="AF55" s="389">
        <f t="shared" si="8"/>
        <v>2263333</v>
      </c>
      <c r="AG55" s="389">
        <f>J55-AF55</f>
        <v>0</v>
      </c>
      <c r="AH55" s="389">
        <f>AF55-AI55</f>
        <v>2263333</v>
      </c>
      <c r="AI55" s="389">
        <f>'[1]RESU X MES'!N43+'[1]RESU X MES'!N301+'[1]RESU X MES'!N560+'[1]RESU X MES'!N823+'[1]RESU X MES'!N1084+'[1]RESU X MES'!N1346+'[1]RESU X MES'!N1609+'[1]RESU X MES'!N1870+'[1]RESU X MES'!N2129+'[1]RESU X MES'!N2391+'[1]RESU X MES'!N2653+'[1]RESU X MES'!N2916</f>
        <v>0</v>
      </c>
    </row>
    <row r="56" spans="2:35" ht="14.25">
      <c r="B56" s="386"/>
      <c r="C56" s="386"/>
      <c r="D56" s="386"/>
      <c r="E56" s="387"/>
      <c r="F56" s="387"/>
      <c r="G56" s="388"/>
      <c r="H56" s="389"/>
      <c r="I56" s="389"/>
      <c r="J56" s="389"/>
      <c r="K56" s="389"/>
      <c r="L56" s="389"/>
      <c r="M56" s="389"/>
      <c r="N56" s="389"/>
      <c r="O56" s="389"/>
      <c r="P56" s="389"/>
      <c r="Q56" s="389"/>
      <c r="R56" s="389"/>
      <c r="S56" s="389"/>
      <c r="T56" s="389"/>
      <c r="U56" s="389"/>
      <c r="V56" s="389"/>
      <c r="W56" s="389"/>
      <c r="X56" s="389"/>
      <c r="Y56" s="389"/>
      <c r="Z56" s="389">
        <f t="shared" si="2"/>
        <v>0</v>
      </c>
      <c r="AA56" s="389"/>
      <c r="AB56" s="389"/>
      <c r="AC56" s="389"/>
      <c r="AD56" s="389"/>
      <c r="AE56" s="389"/>
      <c r="AF56" s="389">
        <f t="shared" si="8"/>
        <v>0</v>
      </c>
      <c r="AG56" s="389"/>
      <c r="AH56" s="389"/>
      <c r="AI56" s="389"/>
    </row>
    <row r="57" spans="2:35" ht="14.25">
      <c r="B57" s="386"/>
      <c r="C57" s="386"/>
      <c r="D57" s="386"/>
      <c r="E57" s="387"/>
      <c r="F57" s="387"/>
      <c r="G57" s="388"/>
      <c r="H57" s="389"/>
      <c r="I57" s="389"/>
      <c r="J57" s="389"/>
      <c r="K57" s="389"/>
      <c r="L57" s="389"/>
      <c r="M57" s="389"/>
      <c r="N57" s="389"/>
      <c r="O57" s="389"/>
      <c r="P57" s="389"/>
      <c r="Q57" s="389"/>
      <c r="R57" s="389"/>
      <c r="S57" s="389"/>
      <c r="T57" s="389"/>
      <c r="U57" s="389"/>
      <c r="V57" s="389"/>
      <c r="W57" s="389"/>
      <c r="X57" s="389"/>
      <c r="Y57" s="389"/>
      <c r="Z57" s="389"/>
      <c r="AA57" s="389"/>
      <c r="AB57" s="389"/>
      <c r="AC57" s="389"/>
      <c r="AD57" s="389"/>
      <c r="AE57" s="389"/>
      <c r="AF57" s="389">
        <f t="shared" si="8"/>
        <v>0</v>
      </c>
      <c r="AG57" s="389"/>
      <c r="AH57" s="389"/>
      <c r="AI57" s="389"/>
    </row>
    <row r="58" spans="2:35" ht="14.25">
      <c r="B58" s="381">
        <f>'[1]GASTOS MATRIZ'!A55</f>
        <v>200</v>
      </c>
      <c r="C58" s="381"/>
      <c r="D58" s="381"/>
      <c r="E58" s="390"/>
      <c r="F58" s="390"/>
      <c r="G58" s="385" t="str">
        <f>'[1]GASTOS MATRIZ'!F55</f>
        <v>SERVICIOS NO PERSONALES</v>
      </c>
      <c r="H58" s="382">
        <f>+H98</f>
        <v>0</v>
      </c>
      <c r="I58" s="382">
        <f aca="true" t="shared" si="10" ref="I58:AI58">+I98</f>
        <v>40000000</v>
      </c>
      <c r="J58" s="382">
        <f t="shared" si="10"/>
        <v>40000000</v>
      </c>
      <c r="K58" s="382">
        <f t="shared" si="10"/>
        <v>0</v>
      </c>
      <c r="L58" s="382">
        <f t="shared" si="10"/>
        <v>0</v>
      </c>
      <c r="M58" s="382">
        <f t="shared" si="10"/>
        <v>0</v>
      </c>
      <c r="N58" s="382">
        <f t="shared" si="10"/>
        <v>0</v>
      </c>
      <c r="O58" s="382">
        <f t="shared" si="10"/>
        <v>0</v>
      </c>
      <c r="P58" s="382">
        <f t="shared" si="10"/>
        <v>40000000</v>
      </c>
      <c r="Q58" s="382">
        <f t="shared" si="10"/>
        <v>0</v>
      </c>
      <c r="R58" s="382">
        <f t="shared" si="10"/>
        <v>0</v>
      </c>
      <c r="S58" s="382">
        <f t="shared" si="10"/>
        <v>0</v>
      </c>
      <c r="T58" s="382">
        <f t="shared" si="10"/>
        <v>0</v>
      </c>
      <c r="U58" s="382">
        <f t="shared" si="10"/>
        <v>0</v>
      </c>
      <c r="V58" s="382">
        <f t="shared" si="10"/>
        <v>0</v>
      </c>
      <c r="W58" s="382">
        <f t="shared" si="10"/>
        <v>0</v>
      </c>
      <c r="X58" s="382">
        <f t="shared" si="10"/>
        <v>0</v>
      </c>
      <c r="Y58" s="382">
        <f t="shared" si="10"/>
        <v>0</v>
      </c>
      <c r="Z58" s="382">
        <f t="shared" si="10"/>
        <v>0</v>
      </c>
      <c r="AA58" s="382">
        <f t="shared" si="10"/>
        <v>0</v>
      </c>
      <c r="AB58" s="382">
        <f t="shared" si="10"/>
        <v>0</v>
      </c>
      <c r="AC58" s="382">
        <f t="shared" si="10"/>
        <v>0</v>
      </c>
      <c r="AD58" s="382">
        <f t="shared" si="10"/>
        <v>0</v>
      </c>
      <c r="AE58" s="382">
        <f t="shared" si="10"/>
        <v>0</v>
      </c>
      <c r="AF58" s="382">
        <f t="shared" si="8"/>
        <v>40000000</v>
      </c>
      <c r="AG58" s="382">
        <f t="shared" si="10"/>
        <v>0</v>
      </c>
      <c r="AH58" s="382">
        <f t="shared" si="10"/>
        <v>40000000</v>
      </c>
      <c r="AI58" s="382">
        <f t="shared" si="10"/>
        <v>0</v>
      </c>
    </row>
    <row r="59" spans="2:35" ht="15" customHeight="1" hidden="1">
      <c r="B59" s="381"/>
      <c r="C59" s="381">
        <f>'[1]GASTOS MATRIZ'!B56</f>
        <v>210</v>
      </c>
      <c r="D59" s="381"/>
      <c r="E59" s="390"/>
      <c r="F59" s="390"/>
      <c r="G59" s="385" t="str">
        <f>'[1]GASTOS MATRIZ'!F56</f>
        <v>Servicios Básicos</v>
      </c>
      <c r="H59" s="382">
        <f aca="true" t="shared" si="11" ref="H59:M59">SUM(H60:H61)</f>
        <v>0</v>
      </c>
      <c r="I59" s="382">
        <f t="shared" si="11"/>
        <v>0</v>
      </c>
      <c r="J59" s="382">
        <f t="shared" si="11"/>
        <v>0</v>
      </c>
      <c r="K59" s="382">
        <f t="shared" si="11"/>
        <v>0</v>
      </c>
      <c r="L59" s="382">
        <f t="shared" si="11"/>
        <v>0</v>
      </c>
      <c r="M59" s="382">
        <f t="shared" si="11"/>
        <v>0</v>
      </c>
      <c r="N59" s="382"/>
      <c r="O59" s="382">
        <f>SUM(E59:J59)</f>
        <v>0</v>
      </c>
      <c r="P59" s="382"/>
      <c r="Q59" s="382"/>
      <c r="R59" s="382"/>
      <c r="S59" s="382"/>
      <c r="T59" s="382">
        <f>SUM(K59:P59)</f>
        <v>0</v>
      </c>
      <c r="U59" s="382">
        <f>SUM(U60:U61)</f>
        <v>0</v>
      </c>
      <c r="V59" s="382">
        <f>SUM(V60:V61)</f>
        <v>0</v>
      </c>
      <c r="W59" s="382">
        <f>SUM(W60:W61)</f>
        <v>0</v>
      </c>
      <c r="X59" s="382">
        <f>SUM(X60:X61)</f>
        <v>0</v>
      </c>
      <c r="Y59" s="382">
        <f>SUM(U59:X59)</f>
        <v>0</v>
      </c>
      <c r="Z59" s="382">
        <f t="shared" si="2"/>
        <v>0</v>
      </c>
      <c r="AA59" s="382">
        <f>SUM(AA60:AA61)</f>
        <v>0</v>
      </c>
      <c r="AB59" s="382">
        <f>SUM(AB60:AB61)</f>
        <v>0</v>
      </c>
      <c r="AC59" s="382">
        <f>SUM(AC60:AC61)</f>
        <v>0</v>
      </c>
      <c r="AD59" s="382">
        <f>SUM(AD60:AD61)</f>
        <v>0</v>
      </c>
      <c r="AE59" s="382">
        <f>SUM(AA59:AD59)</f>
        <v>0</v>
      </c>
      <c r="AF59" s="382">
        <f t="shared" si="8"/>
        <v>0</v>
      </c>
      <c r="AG59" s="382">
        <f>SUM(AG60:AG61)</f>
        <v>0</v>
      </c>
      <c r="AH59" s="382">
        <f>SUM(AH60:AH61)</f>
        <v>0</v>
      </c>
      <c r="AI59" s="382">
        <f>SUM(AI60:AI61)</f>
        <v>0</v>
      </c>
    </row>
    <row r="60" spans="2:35" ht="15" customHeight="1" hidden="1">
      <c r="B60" s="386"/>
      <c r="C60" s="386"/>
      <c r="D60" s="386"/>
      <c r="E60" s="387"/>
      <c r="F60" s="387"/>
      <c r="G60" s="388"/>
      <c r="H60" s="389"/>
      <c r="I60" s="389"/>
      <c r="J60" s="389"/>
      <c r="K60" s="389"/>
      <c r="L60" s="389"/>
      <c r="M60" s="389"/>
      <c r="N60" s="389"/>
      <c r="O60" s="389"/>
      <c r="P60" s="389"/>
      <c r="Q60" s="389"/>
      <c r="R60" s="389"/>
      <c r="S60" s="389"/>
      <c r="T60" s="389"/>
      <c r="U60" s="389"/>
      <c r="V60" s="389"/>
      <c r="W60" s="389"/>
      <c r="X60" s="389"/>
      <c r="Y60" s="389"/>
      <c r="Z60" s="389">
        <f t="shared" si="2"/>
        <v>0</v>
      </c>
      <c r="AA60" s="389"/>
      <c r="AB60" s="389"/>
      <c r="AC60" s="389"/>
      <c r="AD60" s="389"/>
      <c r="AE60" s="389"/>
      <c r="AF60" s="389">
        <f t="shared" si="8"/>
        <v>0</v>
      </c>
      <c r="AG60" s="389"/>
      <c r="AH60" s="389"/>
      <c r="AI60" s="389"/>
    </row>
    <row r="61" spans="2:35" ht="15" customHeight="1" hidden="1">
      <c r="B61" s="386"/>
      <c r="C61" s="386"/>
      <c r="D61" s="386"/>
      <c r="E61" s="387"/>
      <c r="F61" s="387"/>
      <c r="G61" s="388"/>
      <c r="H61" s="389"/>
      <c r="I61" s="389"/>
      <c r="J61" s="389"/>
      <c r="K61" s="389"/>
      <c r="L61" s="389"/>
      <c r="M61" s="389"/>
      <c r="N61" s="389"/>
      <c r="O61" s="389"/>
      <c r="P61" s="389"/>
      <c r="Q61" s="389"/>
      <c r="R61" s="389"/>
      <c r="S61" s="389"/>
      <c r="T61" s="389"/>
      <c r="U61" s="389"/>
      <c r="V61" s="389"/>
      <c r="W61" s="389"/>
      <c r="X61" s="389"/>
      <c r="Y61" s="389"/>
      <c r="Z61" s="389">
        <f t="shared" si="2"/>
        <v>0</v>
      </c>
      <c r="AA61" s="389"/>
      <c r="AB61" s="389"/>
      <c r="AC61" s="389"/>
      <c r="AD61" s="389"/>
      <c r="AE61" s="389"/>
      <c r="AF61" s="389">
        <f t="shared" si="8"/>
        <v>0</v>
      </c>
      <c r="AG61" s="389"/>
      <c r="AH61" s="389"/>
      <c r="AI61" s="389"/>
    </row>
    <row r="62" spans="2:35" ht="15" customHeight="1" hidden="1">
      <c r="B62" s="381"/>
      <c r="C62" s="381">
        <f>'[1]GASTOS MATRIZ'!B59</f>
        <v>220</v>
      </c>
      <c r="D62" s="381"/>
      <c r="E62" s="390"/>
      <c r="F62" s="390"/>
      <c r="G62" s="385" t="str">
        <f>'[1]GASTOS MATRIZ'!F59</f>
        <v>Transporte y Almacenaje</v>
      </c>
      <c r="H62" s="382">
        <f aca="true" t="shared" si="12" ref="H62:M62">SUM(H63:H64)</f>
        <v>0</v>
      </c>
      <c r="I62" s="382">
        <f t="shared" si="12"/>
        <v>0</v>
      </c>
      <c r="J62" s="382">
        <f t="shared" si="12"/>
        <v>0</v>
      </c>
      <c r="K62" s="382">
        <f t="shared" si="12"/>
        <v>0</v>
      </c>
      <c r="L62" s="382">
        <f t="shared" si="12"/>
        <v>0</v>
      </c>
      <c r="M62" s="382">
        <f t="shared" si="12"/>
        <v>0</v>
      </c>
      <c r="N62" s="382"/>
      <c r="O62" s="382">
        <f>SUM(E62:J62)</f>
        <v>0</v>
      </c>
      <c r="P62" s="382"/>
      <c r="Q62" s="382"/>
      <c r="R62" s="382"/>
      <c r="S62" s="382"/>
      <c r="T62" s="382">
        <f>SUM(K62:P62)</f>
        <v>0</v>
      </c>
      <c r="U62" s="382">
        <f>SUM(U63:U64)</f>
        <v>0</v>
      </c>
      <c r="V62" s="382">
        <f>SUM(V63:V64)</f>
        <v>0</v>
      </c>
      <c r="W62" s="382">
        <f>SUM(W63:W64)</f>
        <v>0</v>
      </c>
      <c r="X62" s="382">
        <f>SUM(X63:X64)</f>
        <v>0</v>
      </c>
      <c r="Y62" s="382">
        <f>SUM(U62:X62)</f>
        <v>0</v>
      </c>
      <c r="Z62" s="382">
        <f t="shared" si="2"/>
        <v>0</v>
      </c>
      <c r="AA62" s="382">
        <f>SUM(AA63:AA64)</f>
        <v>0</v>
      </c>
      <c r="AB62" s="382">
        <f>SUM(AB63:AB64)</f>
        <v>0</v>
      </c>
      <c r="AC62" s="382">
        <f>SUM(AC63:AC64)</f>
        <v>0</v>
      </c>
      <c r="AD62" s="382">
        <f>SUM(AD63:AD64)</f>
        <v>0</v>
      </c>
      <c r="AE62" s="382">
        <f>SUM(AA62:AD62)</f>
        <v>0</v>
      </c>
      <c r="AF62" s="382">
        <f t="shared" si="8"/>
        <v>0</v>
      </c>
      <c r="AG62" s="382">
        <f>SUM(AG63:AG64)</f>
        <v>0</v>
      </c>
      <c r="AH62" s="382">
        <f>SUM(AH63:AH64)</f>
        <v>0</v>
      </c>
      <c r="AI62" s="382">
        <f>SUM(AI63:AI64)</f>
        <v>0</v>
      </c>
    </row>
    <row r="63" spans="2:35" ht="15" customHeight="1" hidden="1">
      <c r="B63" s="386"/>
      <c r="C63" s="386"/>
      <c r="D63" s="386"/>
      <c r="E63" s="387"/>
      <c r="F63" s="387"/>
      <c r="G63" s="388"/>
      <c r="H63" s="389"/>
      <c r="I63" s="389"/>
      <c r="J63" s="389"/>
      <c r="K63" s="389"/>
      <c r="L63" s="389"/>
      <c r="M63" s="389"/>
      <c r="N63" s="389"/>
      <c r="O63" s="389"/>
      <c r="P63" s="389"/>
      <c r="Q63" s="389"/>
      <c r="R63" s="389"/>
      <c r="S63" s="389"/>
      <c r="T63" s="389"/>
      <c r="U63" s="389"/>
      <c r="V63" s="389"/>
      <c r="W63" s="389"/>
      <c r="X63" s="389"/>
      <c r="Y63" s="389"/>
      <c r="Z63" s="389">
        <f t="shared" si="2"/>
        <v>0</v>
      </c>
      <c r="AA63" s="389"/>
      <c r="AB63" s="389"/>
      <c r="AC63" s="389"/>
      <c r="AD63" s="389"/>
      <c r="AE63" s="389"/>
      <c r="AF63" s="389">
        <f t="shared" si="8"/>
        <v>0</v>
      </c>
      <c r="AG63" s="389"/>
      <c r="AH63" s="389"/>
      <c r="AI63" s="389"/>
    </row>
    <row r="64" spans="2:35" ht="15" customHeight="1" hidden="1">
      <c r="B64" s="386"/>
      <c r="C64" s="386"/>
      <c r="D64" s="386"/>
      <c r="E64" s="387"/>
      <c r="F64" s="387"/>
      <c r="G64" s="388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89"/>
      <c r="U64" s="389"/>
      <c r="V64" s="389"/>
      <c r="W64" s="389"/>
      <c r="X64" s="389"/>
      <c r="Y64" s="389"/>
      <c r="Z64" s="389">
        <f t="shared" si="2"/>
        <v>0</v>
      </c>
      <c r="AA64" s="389"/>
      <c r="AB64" s="389"/>
      <c r="AC64" s="389"/>
      <c r="AD64" s="389"/>
      <c r="AE64" s="389"/>
      <c r="AF64" s="389">
        <f t="shared" si="8"/>
        <v>0</v>
      </c>
      <c r="AG64" s="389"/>
      <c r="AH64" s="389"/>
      <c r="AI64" s="389"/>
    </row>
    <row r="65" spans="2:35" ht="15" customHeight="1" hidden="1">
      <c r="B65" s="383"/>
      <c r="C65" s="383">
        <f>'[1]GASTOS MATRIZ'!B62</f>
        <v>230</v>
      </c>
      <c r="D65" s="381"/>
      <c r="E65" s="383"/>
      <c r="F65" s="383"/>
      <c r="G65" s="383" t="str">
        <f>'[1]GASTOS MATRIZ'!F62</f>
        <v>Pasajes y Viáticos</v>
      </c>
      <c r="H65" s="382">
        <f aca="true" t="shared" si="13" ref="H65:M65">SUM(H66:H67)</f>
        <v>0</v>
      </c>
      <c r="I65" s="382">
        <f t="shared" si="13"/>
        <v>0</v>
      </c>
      <c r="J65" s="382">
        <f t="shared" si="13"/>
        <v>0</v>
      </c>
      <c r="K65" s="382">
        <f t="shared" si="13"/>
        <v>0</v>
      </c>
      <c r="L65" s="382">
        <f t="shared" si="13"/>
        <v>0</v>
      </c>
      <c r="M65" s="382">
        <f t="shared" si="13"/>
        <v>0</v>
      </c>
      <c r="N65" s="382"/>
      <c r="O65" s="382">
        <f>SUM(E65:J65)</f>
        <v>0</v>
      </c>
      <c r="P65" s="382"/>
      <c r="Q65" s="382"/>
      <c r="R65" s="382"/>
      <c r="S65" s="382"/>
      <c r="T65" s="382">
        <f>SUM(K65:P65)</f>
        <v>0</v>
      </c>
      <c r="U65" s="382">
        <f>SUM(U66:U67)</f>
        <v>0</v>
      </c>
      <c r="V65" s="382">
        <f>SUM(V66:V67)</f>
        <v>0</v>
      </c>
      <c r="W65" s="382">
        <f>SUM(W66:W67)</f>
        <v>0</v>
      </c>
      <c r="X65" s="382">
        <f>SUM(X66:X67)</f>
        <v>0</v>
      </c>
      <c r="Y65" s="382">
        <f>SUM(U65:X65)</f>
        <v>0</v>
      </c>
      <c r="Z65" s="382">
        <f t="shared" si="2"/>
        <v>0</v>
      </c>
      <c r="AA65" s="382">
        <f>SUM(AA66:AA67)</f>
        <v>0</v>
      </c>
      <c r="AB65" s="382">
        <f>SUM(AB66:AB67)</f>
        <v>0</v>
      </c>
      <c r="AC65" s="382">
        <f>SUM(AC66:AC67)</f>
        <v>0</v>
      </c>
      <c r="AD65" s="382">
        <f>SUM(AD66:AD67)</f>
        <v>0</v>
      </c>
      <c r="AE65" s="382">
        <f>SUM(AA65:AD65)</f>
        <v>0</v>
      </c>
      <c r="AF65" s="382">
        <f t="shared" si="8"/>
        <v>0</v>
      </c>
      <c r="AG65" s="382">
        <f>SUM(AG66:AG67)</f>
        <v>0</v>
      </c>
      <c r="AH65" s="382">
        <f>SUM(AH66:AH67)</f>
        <v>0</v>
      </c>
      <c r="AI65" s="382">
        <f>SUM(AI66:AI67)</f>
        <v>0</v>
      </c>
    </row>
    <row r="66" spans="2:35" ht="15" customHeight="1" hidden="1">
      <c r="B66" s="391"/>
      <c r="C66" s="391"/>
      <c r="D66" s="386"/>
      <c r="E66" s="387"/>
      <c r="F66" s="387"/>
      <c r="G66" s="391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89"/>
      <c r="U66" s="389"/>
      <c r="V66" s="389"/>
      <c r="W66" s="389"/>
      <c r="X66" s="389"/>
      <c r="Y66" s="389"/>
      <c r="Z66" s="389">
        <f t="shared" si="2"/>
        <v>0</v>
      </c>
      <c r="AA66" s="389"/>
      <c r="AB66" s="389"/>
      <c r="AC66" s="389"/>
      <c r="AD66" s="389"/>
      <c r="AE66" s="389"/>
      <c r="AF66" s="389">
        <f t="shared" si="8"/>
        <v>0</v>
      </c>
      <c r="AG66" s="389"/>
      <c r="AH66" s="389"/>
      <c r="AI66" s="389"/>
    </row>
    <row r="67" spans="2:35" ht="15" customHeight="1" hidden="1">
      <c r="B67" s="391"/>
      <c r="C67" s="391"/>
      <c r="D67" s="386"/>
      <c r="E67" s="387"/>
      <c r="F67" s="387"/>
      <c r="G67" s="391"/>
      <c r="H67" s="389"/>
      <c r="I67" s="389"/>
      <c r="J67" s="389"/>
      <c r="K67" s="389"/>
      <c r="L67" s="389"/>
      <c r="M67" s="389"/>
      <c r="N67" s="389"/>
      <c r="O67" s="389"/>
      <c r="P67" s="389"/>
      <c r="Q67" s="389"/>
      <c r="R67" s="389"/>
      <c r="S67" s="389"/>
      <c r="T67" s="389"/>
      <c r="U67" s="389"/>
      <c r="V67" s="389"/>
      <c r="W67" s="389"/>
      <c r="X67" s="389"/>
      <c r="Y67" s="389"/>
      <c r="Z67" s="389">
        <f t="shared" si="2"/>
        <v>0</v>
      </c>
      <c r="AA67" s="389"/>
      <c r="AB67" s="389"/>
      <c r="AC67" s="389"/>
      <c r="AD67" s="389"/>
      <c r="AE67" s="389"/>
      <c r="AF67" s="389">
        <f t="shared" si="8"/>
        <v>0</v>
      </c>
      <c r="AG67" s="389"/>
      <c r="AH67" s="389"/>
      <c r="AI67" s="389"/>
    </row>
    <row r="68" spans="2:35" ht="15" customHeight="1" hidden="1">
      <c r="B68" s="391"/>
      <c r="C68" s="391"/>
      <c r="D68" s="386"/>
      <c r="E68" s="387"/>
      <c r="F68" s="387"/>
      <c r="G68" s="391"/>
      <c r="H68" s="389"/>
      <c r="I68" s="389"/>
      <c r="J68" s="389"/>
      <c r="K68" s="389"/>
      <c r="L68" s="389"/>
      <c r="M68" s="389"/>
      <c r="N68" s="389"/>
      <c r="O68" s="389"/>
      <c r="P68" s="389"/>
      <c r="Q68" s="389"/>
      <c r="R68" s="389"/>
      <c r="S68" s="389"/>
      <c r="T68" s="389"/>
      <c r="U68" s="389"/>
      <c r="V68" s="389"/>
      <c r="W68" s="389"/>
      <c r="X68" s="389"/>
      <c r="Y68" s="389"/>
      <c r="Z68" s="389">
        <f t="shared" si="2"/>
        <v>0</v>
      </c>
      <c r="AA68" s="389"/>
      <c r="AB68" s="389"/>
      <c r="AC68" s="389"/>
      <c r="AD68" s="389"/>
      <c r="AE68" s="389"/>
      <c r="AF68" s="389">
        <f t="shared" si="8"/>
        <v>0</v>
      </c>
      <c r="AG68" s="389"/>
      <c r="AH68" s="389"/>
      <c r="AI68" s="389"/>
    </row>
    <row r="69" spans="2:35" ht="15" customHeight="1" hidden="1">
      <c r="B69" s="383"/>
      <c r="C69" s="383">
        <f>'[1]GASTOS MATRIZ'!B66</f>
        <v>240</v>
      </c>
      <c r="D69" s="381"/>
      <c r="E69" s="383"/>
      <c r="F69" s="383"/>
      <c r="G69" s="383" t="str">
        <f>'[1]GASTOS MATRIZ'!F66</f>
        <v>Gastos p/ Serv. de Aseo Mant. y Repar.</v>
      </c>
      <c r="H69" s="382">
        <f aca="true" t="shared" si="14" ref="H69:M69">SUM(H70:H73)</f>
        <v>0</v>
      </c>
      <c r="I69" s="382">
        <f t="shared" si="14"/>
        <v>0</v>
      </c>
      <c r="J69" s="382">
        <f t="shared" si="14"/>
        <v>0</v>
      </c>
      <c r="K69" s="382">
        <f t="shared" si="14"/>
        <v>0</v>
      </c>
      <c r="L69" s="382">
        <f t="shared" si="14"/>
        <v>0</v>
      </c>
      <c r="M69" s="382">
        <f t="shared" si="14"/>
        <v>0</v>
      </c>
      <c r="N69" s="382"/>
      <c r="O69" s="382">
        <f>SUM(E69:J69)</f>
        <v>0</v>
      </c>
      <c r="P69" s="382"/>
      <c r="Q69" s="382"/>
      <c r="R69" s="382"/>
      <c r="S69" s="382"/>
      <c r="T69" s="382">
        <f>SUM(K69:P69)</f>
        <v>0</v>
      </c>
      <c r="U69" s="382">
        <f>SUM(U70:U73)</f>
        <v>0</v>
      </c>
      <c r="V69" s="382">
        <f>SUM(V70:V73)</f>
        <v>0</v>
      </c>
      <c r="W69" s="382">
        <f>SUM(W70:W73)</f>
        <v>0</v>
      </c>
      <c r="X69" s="382">
        <f>SUM(X70:X73)</f>
        <v>0</v>
      </c>
      <c r="Y69" s="382">
        <f>SUM(U69:X69)</f>
        <v>0</v>
      </c>
      <c r="Z69" s="382">
        <f t="shared" si="2"/>
        <v>0</v>
      </c>
      <c r="AA69" s="382">
        <f>SUM(AA70:AA73)</f>
        <v>0</v>
      </c>
      <c r="AB69" s="382">
        <f>SUM(AB70:AB73)</f>
        <v>0</v>
      </c>
      <c r="AC69" s="382">
        <f>SUM(AC70:AC73)</f>
        <v>0</v>
      </c>
      <c r="AD69" s="382">
        <f>SUM(AD70:AD73)</f>
        <v>0</v>
      </c>
      <c r="AE69" s="382">
        <f>SUM(AA69:AD69)</f>
        <v>0</v>
      </c>
      <c r="AF69" s="382">
        <f t="shared" si="8"/>
        <v>0</v>
      </c>
      <c r="AG69" s="382">
        <f>SUM(AG70:AG73)</f>
        <v>0</v>
      </c>
      <c r="AH69" s="382">
        <f>SUM(AH70:AH73)</f>
        <v>0</v>
      </c>
      <c r="AI69" s="382">
        <f>SUM(AI70:AI73)</f>
        <v>0</v>
      </c>
    </row>
    <row r="70" spans="2:35" ht="30" customHeight="1" hidden="1">
      <c r="B70" s="391"/>
      <c r="C70" s="391"/>
      <c r="D70" s="386">
        <f>'[1]GASTOS MATRIZ'!C67</f>
        <v>240</v>
      </c>
      <c r="E70" s="387" t="str">
        <f>'[1]GASTOS MATRIZ'!D67</f>
        <v>30</v>
      </c>
      <c r="F70" s="387" t="str">
        <f>'[1]GASTOS MATRIZ'!E67</f>
        <v>011</v>
      </c>
      <c r="G70" s="392" t="str">
        <f>'[1]GASTOS MATRIZ'!F67</f>
        <v>Gastos por Servicios de Aseo, Mantenimiento  y Reparación</v>
      </c>
      <c r="H70" s="393">
        <f>'[1]GASTOS MATRIZ'!G67</f>
        <v>0</v>
      </c>
      <c r="I70" s="393">
        <f>'[1]GASTOS MATRIZ'!H67</f>
        <v>0</v>
      </c>
      <c r="J70" s="393">
        <f>H70+I70</f>
        <v>0</v>
      </c>
      <c r="K70" s="389">
        <f>'[1]RESU X MES'!H58</f>
        <v>0</v>
      </c>
      <c r="L70" s="389">
        <f>'[1]RESU X MES'!H316</f>
        <v>0</v>
      </c>
      <c r="M70" s="389">
        <f>'[1]RESU X MES'!H575</f>
        <v>0</v>
      </c>
      <c r="N70" s="389"/>
      <c r="O70" s="389">
        <f>SUM(E70:J70)</f>
        <v>0</v>
      </c>
      <c r="P70" s="389"/>
      <c r="Q70" s="389"/>
      <c r="R70" s="389"/>
      <c r="S70" s="389"/>
      <c r="T70" s="389">
        <f>SUM(K70:P70)</f>
        <v>0</v>
      </c>
      <c r="U70" s="389">
        <f>'[1]RESU X MES'!H1099</f>
        <v>0</v>
      </c>
      <c r="V70" s="389">
        <f>'[1]RESU X MES'!H1361</f>
        <v>0</v>
      </c>
      <c r="W70" s="389">
        <f>'[1]RESU X MES'!H1624</f>
        <v>0</v>
      </c>
      <c r="X70" s="389">
        <f>'[1]RESU X MES'!H1885</f>
        <v>0</v>
      </c>
      <c r="Y70" s="389">
        <f>SUM(U70:X70)</f>
        <v>0</v>
      </c>
      <c r="Z70" s="389">
        <f t="shared" si="2"/>
        <v>0</v>
      </c>
      <c r="AA70" s="389">
        <f>'[1]RESU X MES'!H2144</f>
        <v>0</v>
      </c>
      <c r="AB70" s="389">
        <f>'[1]RESU X MES'!H2406</f>
        <v>0</v>
      </c>
      <c r="AC70" s="389">
        <f>'[1]RESU X MES'!H2668</f>
        <v>0</v>
      </c>
      <c r="AD70" s="389">
        <f>'[1]RESU X MES'!H2931</f>
        <v>0</v>
      </c>
      <c r="AE70" s="389">
        <f>SUM(AA70:AD70)</f>
        <v>0</v>
      </c>
      <c r="AF70" s="389">
        <f t="shared" si="8"/>
        <v>0</v>
      </c>
      <c r="AG70" s="389">
        <f>J70-AF70</f>
        <v>0</v>
      </c>
      <c r="AH70" s="389">
        <f>AF70-AI70</f>
        <v>0</v>
      </c>
      <c r="AI70" s="389">
        <f>'[1]RESU X MES'!N58+'[1]RESU X MES'!N316+'[1]RESU X MES'!N575+'[1]RESU X MES'!N838+'[1]RESU X MES'!N1099+'[1]RESU X MES'!N1361+'[1]RESU X MES'!N1624+'[1]RESU X MES'!N1885+'[1]RESU X MES'!N2144+'[1]RESU X MES'!N2406+'[1]RESU X MES'!N2668+'[1]RESU X MES'!N2931</f>
        <v>0</v>
      </c>
    </row>
    <row r="71" spans="2:35" ht="15" customHeight="1" hidden="1">
      <c r="B71" s="391"/>
      <c r="C71" s="391"/>
      <c r="D71" s="386"/>
      <c r="E71" s="387"/>
      <c r="F71" s="387"/>
      <c r="G71" s="392"/>
      <c r="H71" s="393"/>
      <c r="I71" s="393"/>
      <c r="J71" s="393"/>
      <c r="K71" s="389"/>
      <c r="L71" s="389"/>
      <c r="M71" s="389"/>
      <c r="N71" s="389"/>
      <c r="O71" s="389"/>
      <c r="P71" s="389"/>
      <c r="Q71" s="389"/>
      <c r="R71" s="389"/>
      <c r="S71" s="389"/>
      <c r="T71" s="389"/>
      <c r="U71" s="389"/>
      <c r="V71" s="389"/>
      <c r="W71" s="389"/>
      <c r="X71" s="389"/>
      <c r="Y71" s="389"/>
      <c r="Z71" s="389">
        <f t="shared" si="2"/>
        <v>0</v>
      </c>
      <c r="AA71" s="389"/>
      <c r="AB71" s="389"/>
      <c r="AC71" s="389"/>
      <c r="AD71" s="389"/>
      <c r="AE71" s="389"/>
      <c r="AF71" s="389">
        <f t="shared" si="8"/>
        <v>0</v>
      </c>
      <c r="AG71" s="389"/>
      <c r="AH71" s="389"/>
      <c r="AI71" s="389"/>
    </row>
    <row r="72" spans="2:35" ht="15" customHeight="1" hidden="1">
      <c r="B72" s="391"/>
      <c r="C72" s="391"/>
      <c r="D72" s="386"/>
      <c r="E72" s="387"/>
      <c r="F72" s="387"/>
      <c r="G72" s="392"/>
      <c r="H72" s="393"/>
      <c r="I72" s="393"/>
      <c r="J72" s="393"/>
      <c r="K72" s="389"/>
      <c r="L72" s="389"/>
      <c r="M72" s="389"/>
      <c r="N72" s="389"/>
      <c r="O72" s="389"/>
      <c r="P72" s="389"/>
      <c r="Q72" s="389"/>
      <c r="R72" s="389"/>
      <c r="S72" s="389"/>
      <c r="T72" s="389"/>
      <c r="U72" s="389"/>
      <c r="V72" s="389"/>
      <c r="W72" s="389"/>
      <c r="X72" s="389"/>
      <c r="Y72" s="389"/>
      <c r="Z72" s="389">
        <f t="shared" si="2"/>
        <v>0</v>
      </c>
      <c r="AA72" s="389"/>
      <c r="AB72" s="389"/>
      <c r="AC72" s="389"/>
      <c r="AD72" s="389"/>
      <c r="AE72" s="389"/>
      <c r="AF72" s="389">
        <f t="shared" si="8"/>
        <v>0</v>
      </c>
      <c r="AG72" s="389"/>
      <c r="AH72" s="389"/>
      <c r="AI72" s="389"/>
    </row>
    <row r="73" spans="2:35" ht="15" customHeight="1" hidden="1">
      <c r="B73" s="391"/>
      <c r="C73" s="391"/>
      <c r="D73" s="386"/>
      <c r="E73" s="387"/>
      <c r="F73" s="387"/>
      <c r="G73" s="392"/>
      <c r="H73" s="393"/>
      <c r="I73" s="393"/>
      <c r="J73" s="393"/>
      <c r="K73" s="389"/>
      <c r="L73" s="389"/>
      <c r="M73" s="389"/>
      <c r="N73" s="389"/>
      <c r="O73" s="389"/>
      <c r="P73" s="389"/>
      <c r="Q73" s="389"/>
      <c r="R73" s="389"/>
      <c r="S73" s="389"/>
      <c r="T73" s="389"/>
      <c r="U73" s="389"/>
      <c r="V73" s="389"/>
      <c r="W73" s="389"/>
      <c r="X73" s="389"/>
      <c r="Y73" s="389"/>
      <c r="Z73" s="389">
        <f t="shared" si="2"/>
        <v>0</v>
      </c>
      <c r="AA73" s="389"/>
      <c r="AB73" s="389"/>
      <c r="AC73" s="389"/>
      <c r="AD73" s="389"/>
      <c r="AE73" s="389"/>
      <c r="AF73" s="389">
        <f t="shared" si="8"/>
        <v>0</v>
      </c>
      <c r="AG73" s="389"/>
      <c r="AH73" s="389"/>
      <c r="AI73" s="389"/>
    </row>
    <row r="74" spans="2:35" ht="15" customHeight="1" hidden="1">
      <c r="B74" s="391"/>
      <c r="C74" s="391"/>
      <c r="D74" s="386"/>
      <c r="E74" s="391"/>
      <c r="F74" s="391"/>
      <c r="G74" s="391"/>
      <c r="H74" s="389"/>
      <c r="I74" s="389"/>
      <c r="J74" s="389"/>
      <c r="K74" s="389"/>
      <c r="L74" s="389"/>
      <c r="M74" s="389"/>
      <c r="N74" s="389"/>
      <c r="O74" s="389"/>
      <c r="P74" s="389"/>
      <c r="Q74" s="389"/>
      <c r="R74" s="389"/>
      <c r="S74" s="389"/>
      <c r="T74" s="389"/>
      <c r="U74" s="389"/>
      <c r="V74" s="389"/>
      <c r="W74" s="389"/>
      <c r="X74" s="389"/>
      <c r="Y74" s="389"/>
      <c r="Z74" s="389">
        <f t="shared" si="2"/>
        <v>0</v>
      </c>
      <c r="AA74" s="389"/>
      <c r="AB74" s="389"/>
      <c r="AC74" s="389"/>
      <c r="AD74" s="389"/>
      <c r="AE74" s="389"/>
      <c r="AF74" s="389">
        <f t="shared" si="8"/>
        <v>0</v>
      </c>
      <c r="AG74" s="389"/>
      <c r="AH74" s="389"/>
      <c r="AI74" s="389"/>
    </row>
    <row r="75" spans="2:35" ht="15" customHeight="1" hidden="1">
      <c r="B75" s="383"/>
      <c r="C75" s="383">
        <f>'[1]GASTOS MATRIZ'!B72</f>
        <v>250</v>
      </c>
      <c r="D75" s="381"/>
      <c r="E75" s="383"/>
      <c r="F75" s="383"/>
      <c r="G75" s="383" t="str">
        <f>'[1]GASTOS MATRIZ'!F72</f>
        <v>Alquileres y Derechos</v>
      </c>
      <c r="H75" s="382">
        <f aca="true" t="shared" si="15" ref="H75:M75">SUM(H76:H78)</f>
        <v>0</v>
      </c>
      <c r="I75" s="382">
        <f t="shared" si="15"/>
        <v>0</v>
      </c>
      <c r="J75" s="382">
        <f t="shared" si="15"/>
        <v>0</v>
      </c>
      <c r="K75" s="382">
        <f t="shared" si="15"/>
        <v>0</v>
      </c>
      <c r="L75" s="382">
        <f t="shared" si="15"/>
        <v>0</v>
      </c>
      <c r="M75" s="382">
        <f t="shared" si="15"/>
        <v>0</v>
      </c>
      <c r="N75" s="382"/>
      <c r="O75" s="382">
        <f>SUM(E75:J75)</f>
        <v>0</v>
      </c>
      <c r="P75" s="382"/>
      <c r="Q75" s="382"/>
      <c r="R75" s="382"/>
      <c r="S75" s="382"/>
      <c r="T75" s="382">
        <f>SUM(K75:P75)</f>
        <v>0</v>
      </c>
      <c r="U75" s="382">
        <f>SUM(U76:U78)</f>
        <v>0</v>
      </c>
      <c r="V75" s="382">
        <f>SUM(V76:V78)</f>
        <v>0</v>
      </c>
      <c r="W75" s="382">
        <f>SUM(W76:W78)</f>
        <v>0</v>
      </c>
      <c r="X75" s="382">
        <f>SUM(X76:X78)</f>
        <v>0</v>
      </c>
      <c r="Y75" s="382">
        <f>SUM(U75:X75)</f>
        <v>0</v>
      </c>
      <c r="Z75" s="382">
        <f t="shared" si="2"/>
        <v>0</v>
      </c>
      <c r="AA75" s="382">
        <f>SUM(AA76:AA78)</f>
        <v>0</v>
      </c>
      <c r="AB75" s="382">
        <f>SUM(AB76:AB78)</f>
        <v>0</v>
      </c>
      <c r="AC75" s="382">
        <f>SUM(AC76:AC78)</f>
        <v>0</v>
      </c>
      <c r="AD75" s="382">
        <f>SUM(AD76:AD78)</f>
        <v>0</v>
      </c>
      <c r="AE75" s="382">
        <f>SUM(AA75:AD75)</f>
        <v>0</v>
      </c>
      <c r="AF75" s="382">
        <f t="shared" si="8"/>
        <v>0</v>
      </c>
      <c r="AG75" s="382">
        <f>SUM(AG76:AG78)</f>
        <v>0</v>
      </c>
      <c r="AH75" s="382">
        <f>SUM(AH76:AH78)</f>
        <v>0</v>
      </c>
      <c r="AI75" s="382">
        <f>SUM(AI76:AI78)</f>
        <v>0</v>
      </c>
    </row>
    <row r="76" spans="2:35" ht="15" customHeight="1" hidden="1">
      <c r="B76" s="391"/>
      <c r="C76" s="391"/>
      <c r="D76" s="386">
        <f>'[1]GASTOS MATRIZ'!C73</f>
        <v>250</v>
      </c>
      <c r="E76" s="387" t="str">
        <f>'[1]GASTOS MATRIZ'!D73</f>
        <v>30</v>
      </c>
      <c r="F76" s="387" t="str">
        <f>'[1]GASTOS MATRIZ'!E73</f>
        <v>011</v>
      </c>
      <c r="G76" s="391" t="str">
        <f>'[1]GASTOS MATRIZ'!F73</f>
        <v>Alquileres y Derechos</v>
      </c>
      <c r="H76" s="389">
        <f>'[1]GASTOS MATRIZ'!G73</f>
        <v>0</v>
      </c>
      <c r="I76" s="389">
        <f>'[1]GASTOS MATRIZ'!H73</f>
        <v>0</v>
      </c>
      <c r="J76" s="389">
        <f>H76+I76</f>
        <v>0</v>
      </c>
      <c r="K76" s="389">
        <f>'[1]RESU X MES'!H64</f>
        <v>0</v>
      </c>
      <c r="L76" s="389">
        <f>'[1]RESU X MES'!H322</f>
        <v>0</v>
      </c>
      <c r="M76" s="389">
        <f>'[1]RESU X MES'!H581</f>
        <v>0</v>
      </c>
      <c r="N76" s="389"/>
      <c r="O76" s="389">
        <f>SUM(E76:J76)</f>
        <v>0</v>
      </c>
      <c r="P76" s="389"/>
      <c r="Q76" s="389"/>
      <c r="R76" s="389"/>
      <c r="S76" s="389"/>
      <c r="T76" s="389">
        <f>SUM(K76:P76)</f>
        <v>0</v>
      </c>
      <c r="U76" s="389">
        <f>'[1]RESU X MES'!H1105</f>
        <v>0</v>
      </c>
      <c r="V76" s="389">
        <f>'[1]RESU X MES'!H1367</f>
        <v>0</v>
      </c>
      <c r="W76" s="389">
        <f>'[1]RESU X MES'!H1630</f>
        <v>0</v>
      </c>
      <c r="X76" s="389">
        <f>'[1]RESU X MES'!H1891</f>
        <v>0</v>
      </c>
      <c r="Y76" s="389">
        <f>SUM(U76:X76)</f>
        <v>0</v>
      </c>
      <c r="Z76" s="389">
        <f t="shared" si="2"/>
        <v>0</v>
      </c>
      <c r="AA76" s="389">
        <f>'[1]RESU X MES'!H2150</f>
        <v>0</v>
      </c>
      <c r="AB76" s="389">
        <f>'[1]RESU X MES'!H2412</f>
        <v>0</v>
      </c>
      <c r="AC76" s="389">
        <f>'[1]RESU X MES'!H2674</f>
        <v>0</v>
      </c>
      <c r="AD76" s="389">
        <f>'[1]RESU X MES'!H2937</f>
        <v>0</v>
      </c>
      <c r="AE76" s="389">
        <f>SUM(AA76:AD76)</f>
        <v>0</v>
      </c>
      <c r="AF76" s="389">
        <f t="shared" si="8"/>
        <v>0</v>
      </c>
      <c r="AG76" s="389">
        <f>J76-AF76</f>
        <v>0</v>
      </c>
      <c r="AH76" s="389">
        <f>AF76-AI76</f>
        <v>0</v>
      </c>
      <c r="AI76" s="389">
        <f>'[1]RESU X MES'!N64+'[1]RESU X MES'!N322+'[1]RESU X MES'!N581+'[1]RESU X MES'!N844+'[1]RESU X MES'!N1105+'[1]RESU X MES'!N1367+'[1]RESU X MES'!N1630+'[1]RESU X MES'!N1891+'[1]RESU X MES'!N2150+'[1]RESU X MES'!N2412+'[1]RESU X MES'!N2674+'[1]RESU X MES'!N2937</f>
        <v>0</v>
      </c>
    </row>
    <row r="77" spans="2:35" ht="15" customHeight="1" hidden="1">
      <c r="B77" s="391"/>
      <c r="C77" s="391"/>
      <c r="D77" s="386"/>
      <c r="E77" s="387"/>
      <c r="F77" s="387"/>
      <c r="G77" s="391"/>
      <c r="H77" s="389"/>
      <c r="I77" s="389"/>
      <c r="J77" s="389"/>
      <c r="K77" s="389"/>
      <c r="L77" s="389"/>
      <c r="M77" s="389"/>
      <c r="N77" s="389"/>
      <c r="O77" s="389"/>
      <c r="P77" s="389"/>
      <c r="Q77" s="389"/>
      <c r="R77" s="389"/>
      <c r="S77" s="389"/>
      <c r="T77" s="389"/>
      <c r="U77" s="389"/>
      <c r="V77" s="389"/>
      <c r="W77" s="389"/>
      <c r="X77" s="389"/>
      <c r="Y77" s="389"/>
      <c r="Z77" s="389">
        <f t="shared" si="2"/>
        <v>0</v>
      </c>
      <c r="AA77" s="389"/>
      <c r="AB77" s="389"/>
      <c r="AC77" s="389"/>
      <c r="AD77" s="389"/>
      <c r="AE77" s="389"/>
      <c r="AF77" s="389">
        <f t="shared" si="8"/>
        <v>0</v>
      </c>
      <c r="AG77" s="389"/>
      <c r="AH77" s="389"/>
      <c r="AI77" s="389"/>
    </row>
    <row r="78" spans="2:35" ht="15" customHeight="1" hidden="1">
      <c r="B78" s="391"/>
      <c r="C78" s="391"/>
      <c r="D78" s="386"/>
      <c r="E78" s="387"/>
      <c r="F78" s="387"/>
      <c r="G78" s="391"/>
      <c r="H78" s="389"/>
      <c r="I78" s="389"/>
      <c r="J78" s="389"/>
      <c r="K78" s="389"/>
      <c r="L78" s="389"/>
      <c r="M78" s="389"/>
      <c r="N78" s="389"/>
      <c r="O78" s="389"/>
      <c r="P78" s="389"/>
      <c r="Q78" s="389"/>
      <c r="R78" s="389"/>
      <c r="S78" s="389"/>
      <c r="T78" s="389"/>
      <c r="U78" s="389"/>
      <c r="V78" s="389"/>
      <c r="W78" s="389"/>
      <c r="X78" s="389"/>
      <c r="Y78" s="389"/>
      <c r="Z78" s="389">
        <f t="shared" si="2"/>
        <v>0</v>
      </c>
      <c r="AA78" s="389"/>
      <c r="AB78" s="389"/>
      <c r="AC78" s="389"/>
      <c r="AD78" s="389"/>
      <c r="AE78" s="389"/>
      <c r="AF78" s="389">
        <f t="shared" si="8"/>
        <v>0</v>
      </c>
      <c r="AG78" s="389"/>
      <c r="AH78" s="389"/>
      <c r="AI78" s="389"/>
    </row>
    <row r="79" spans="2:35" ht="15" customHeight="1" hidden="1">
      <c r="B79" s="383"/>
      <c r="C79" s="383">
        <f>'[1]GASTOS MATRIZ'!B76</f>
        <v>260</v>
      </c>
      <c r="D79" s="381"/>
      <c r="E79" s="383"/>
      <c r="F79" s="383"/>
      <c r="G79" s="383" t="str">
        <f>'[1]GASTOS MATRIZ'!F76</f>
        <v>Servicios Técnicos y Profesionales</v>
      </c>
      <c r="H79" s="382">
        <f aca="true" t="shared" si="16" ref="H79:M79">SUM(H80:H83)</f>
        <v>0</v>
      </c>
      <c r="I79" s="382">
        <f t="shared" si="16"/>
        <v>0</v>
      </c>
      <c r="J79" s="382">
        <f t="shared" si="16"/>
        <v>0</v>
      </c>
      <c r="K79" s="382">
        <f t="shared" si="16"/>
        <v>0</v>
      </c>
      <c r="L79" s="382">
        <f t="shared" si="16"/>
        <v>0</v>
      </c>
      <c r="M79" s="382">
        <f t="shared" si="16"/>
        <v>0</v>
      </c>
      <c r="N79" s="382"/>
      <c r="O79" s="382">
        <f>SUM(E79:J79)</f>
        <v>0</v>
      </c>
      <c r="P79" s="382"/>
      <c r="Q79" s="382"/>
      <c r="R79" s="382"/>
      <c r="S79" s="382"/>
      <c r="T79" s="382">
        <f>SUM(K79:P79)</f>
        <v>0</v>
      </c>
      <c r="U79" s="382">
        <f>SUM(U80:U83)</f>
        <v>0</v>
      </c>
      <c r="V79" s="382">
        <f>SUM(V80:V83)</f>
        <v>0</v>
      </c>
      <c r="W79" s="382">
        <f>SUM(W80:W83)</f>
        <v>0</v>
      </c>
      <c r="X79" s="382">
        <f>SUM(X80:X83)</f>
        <v>0</v>
      </c>
      <c r="Y79" s="382">
        <f>SUM(U79:X79)</f>
        <v>0</v>
      </c>
      <c r="Z79" s="382">
        <f t="shared" si="2"/>
        <v>0</v>
      </c>
      <c r="AA79" s="382">
        <f>SUM(AA80:AA83)</f>
        <v>0</v>
      </c>
      <c r="AB79" s="382">
        <f>SUM(AB80:AB83)</f>
        <v>0</v>
      </c>
      <c r="AC79" s="382">
        <f>SUM(AC80:AC83)</f>
        <v>0</v>
      </c>
      <c r="AD79" s="382">
        <f>SUM(AD80:AD83)</f>
        <v>0</v>
      </c>
      <c r="AE79" s="382">
        <f>SUM(AA79:AD79)</f>
        <v>0</v>
      </c>
      <c r="AF79" s="382">
        <f t="shared" si="8"/>
        <v>0</v>
      </c>
      <c r="AG79" s="382">
        <f>SUM(AG80:AG83)</f>
        <v>0</v>
      </c>
      <c r="AH79" s="382">
        <f>SUM(AH80:AH83)</f>
        <v>0</v>
      </c>
      <c r="AI79" s="382">
        <f>SUM(AI80:AI83)</f>
        <v>0</v>
      </c>
    </row>
    <row r="80" spans="2:35" ht="15" customHeight="1" hidden="1">
      <c r="B80" s="391"/>
      <c r="C80" s="391"/>
      <c r="D80" s="386">
        <f>'[1]GASTOS MATRIZ'!C77</f>
        <v>260</v>
      </c>
      <c r="E80" s="387" t="str">
        <f>'[1]GASTOS MATRIZ'!D77</f>
        <v>30</v>
      </c>
      <c r="F80" s="387" t="str">
        <f>'[1]GASTOS MATRIZ'!E77</f>
        <v>011</v>
      </c>
      <c r="G80" s="391" t="str">
        <f>'[1]GASTOS MATRIZ'!F77</f>
        <v>Servicios Técnicos y Profesionales</v>
      </c>
      <c r="H80" s="389">
        <f>'[1]GASTOS MATRIZ'!G77</f>
        <v>0</v>
      </c>
      <c r="I80" s="389">
        <f>'[1]GASTOS MATRIZ'!H77</f>
        <v>0</v>
      </c>
      <c r="J80" s="389">
        <f>H80+I80</f>
        <v>0</v>
      </c>
      <c r="K80" s="389">
        <f>'[1]RESU X MES'!H68</f>
        <v>0</v>
      </c>
      <c r="L80" s="389">
        <f>'[1]RESU X MES'!H326</f>
        <v>0</v>
      </c>
      <c r="M80" s="389">
        <f>'[1]RESU X MES'!H585</f>
        <v>0</v>
      </c>
      <c r="N80" s="389"/>
      <c r="O80" s="389">
        <f>SUM(E80:J80)</f>
        <v>0</v>
      </c>
      <c r="P80" s="389"/>
      <c r="Q80" s="389"/>
      <c r="R80" s="389"/>
      <c r="S80" s="389"/>
      <c r="T80" s="389">
        <f>SUM(K80:P80)</f>
        <v>0</v>
      </c>
      <c r="U80" s="389">
        <f>'[1]RESU X MES'!H1109</f>
        <v>0</v>
      </c>
      <c r="V80" s="389">
        <f>'[1]RESU X MES'!H1371</f>
        <v>0</v>
      </c>
      <c r="W80" s="389">
        <f>'[1]RESU X MES'!H1634</f>
        <v>0</v>
      </c>
      <c r="X80" s="389">
        <f>'[1]RESU X MES'!H1895</f>
        <v>0</v>
      </c>
      <c r="Y80" s="389">
        <f>SUM(U80:X80)</f>
        <v>0</v>
      </c>
      <c r="Z80" s="389">
        <f t="shared" si="2"/>
        <v>0</v>
      </c>
      <c r="AA80" s="389">
        <f>'[1]RESU X MES'!H2154</f>
        <v>0</v>
      </c>
      <c r="AB80" s="389">
        <f>'[1]RESU X MES'!H2416</f>
        <v>0</v>
      </c>
      <c r="AC80" s="389">
        <f>'[1]RESU X MES'!H2678</f>
        <v>0</v>
      </c>
      <c r="AD80" s="389">
        <f>'[1]RESU X MES'!H2941</f>
        <v>0</v>
      </c>
      <c r="AE80" s="389">
        <f>SUM(AA80:AD80)</f>
        <v>0</v>
      </c>
      <c r="AF80" s="389">
        <f t="shared" si="8"/>
        <v>0</v>
      </c>
      <c r="AG80" s="389">
        <f>J80-AF80</f>
        <v>0</v>
      </c>
      <c r="AH80" s="389">
        <f>AF80-AI80</f>
        <v>0</v>
      </c>
      <c r="AI80" s="389">
        <f>'[1]RESU X MES'!N68+'[1]RESU X MES'!N326+'[1]RESU X MES'!N585+'[1]RESU X MES'!N848+'[1]RESU X MES'!N1109+'[1]RESU X MES'!N1371+'[1]RESU X MES'!N1634+'[1]RESU X MES'!N1895+'[1]RESU X MES'!N2154+'[1]RESU X MES'!N2416+'[1]RESU X MES'!N2678+'[1]RESU X MES'!N2941</f>
        <v>0</v>
      </c>
    </row>
    <row r="81" spans="2:35" ht="15" customHeight="1" hidden="1">
      <c r="B81" s="391"/>
      <c r="C81" s="391"/>
      <c r="D81" s="386"/>
      <c r="E81" s="387"/>
      <c r="F81" s="387"/>
      <c r="G81" s="391"/>
      <c r="H81" s="389"/>
      <c r="I81" s="389"/>
      <c r="J81" s="389"/>
      <c r="K81" s="389"/>
      <c r="L81" s="389"/>
      <c r="M81" s="389"/>
      <c r="N81" s="389"/>
      <c r="O81" s="389"/>
      <c r="P81" s="389"/>
      <c r="Q81" s="389"/>
      <c r="R81" s="389"/>
      <c r="S81" s="389"/>
      <c r="T81" s="389"/>
      <c r="U81" s="389"/>
      <c r="V81" s="389"/>
      <c r="W81" s="389"/>
      <c r="X81" s="389"/>
      <c r="Y81" s="389"/>
      <c r="Z81" s="389">
        <f t="shared" si="2"/>
        <v>0</v>
      </c>
      <c r="AA81" s="389"/>
      <c r="AB81" s="389"/>
      <c r="AC81" s="389"/>
      <c r="AD81" s="389"/>
      <c r="AE81" s="389"/>
      <c r="AF81" s="389">
        <f t="shared" si="8"/>
        <v>0</v>
      </c>
      <c r="AG81" s="389"/>
      <c r="AH81" s="389"/>
      <c r="AI81" s="389"/>
    </row>
    <row r="82" spans="2:35" ht="15" customHeight="1" hidden="1">
      <c r="B82" s="391"/>
      <c r="C82" s="391"/>
      <c r="D82" s="386"/>
      <c r="E82" s="387"/>
      <c r="F82" s="387"/>
      <c r="G82" s="391"/>
      <c r="H82" s="389"/>
      <c r="I82" s="389"/>
      <c r="J82" s="389"/>
      <c r="K82" s="389"/>
      <c r="L82" s="389"/>
      <c r="M82" s="389"/>
      <c r="N82" s="389"/>
      <c r="O82" s="389"/>
      <c r="P82" s="389"/>
      <c r="Q82" s="389"/>
      <c r="R82" s="389"/>
      <c r="S82" s="389"/>
      <c r="T82" s="389"/>
      <c r="U82" s="389"/>
      <c r="V82" s="389"/>
      <c r="W82" s="389"/>
      <c r="X82" s="389"/>
      <c r="Y82" s="389"/>
      <c r="Z82" s="389">
        <f t="shared" si="2"/>
        <v>0</v>
      </c>
      <c r="AA82" s="389"/>
      <c r="AB82" s="389"/>
      <c r="AC82" s="389"/>
      <c r="AD82" s="389"/>
      <c r="AE82" s="389"/>
      <c r="AF82" s="389">
        <f t="shared" si="8"/>
        <v>0</v>
      </c>
      <c r="AG82" s="389"/>
      <c r="AH82" s="389"/>
      <c r="AI82" s="389"/>
    </row>
    <row r="83" spans="2:35" ht="15" customHeight="1" hidden="1">
      <c r="B83" s="391"/>
      <c r="C83" s="391"/>
      <c r="D83" s="386"/>
      <c r="E83" s="387"/>
      <c r="F83" s="387"/>
      <c r="G83" s="391"/>
      <c r="H83" s="389"/>
      <c r="I83" s="389"/>
      <c r="J83" s="389"/>
      <c r="K83" s="389"/>
      <c r="L83" s="389"/>
      <c r="M83" s="389"/>
      <c r="N83" s="389"/>
      <c r="O83" s="389"/>
      <c r="P83" s="389"/>
      <c r="Q83" s="389"/>
      <c r="R83" s="389"/>
      <c r="S83" s="389"/>
      <c r="T83" s="389"/>
      <c r="U83" s="389"/>
      <c r="V83" s="389"/>
      <c r="W83" s="389"/>
      <c r="X83" s="389"/>
      <c r="Y83" s="389"/>
      <c r="Z83" s="389">
        <f t="shared" si="2"/>
        <v>0</v>
      </c>
      <c r="AA83" s="389"/>
      <c r="AB83" s="389"/>
      <c r="AC83" s="389"/>
      <c r="AD83" s="389"/>
      <c r="AE83" s="389"/>
      <c r="AF83" s="389">
        <f t="shared" si="8"/>
        <v>0</v>
      </c>
      <c r="AG83" s="389"/>
      <c r="AH83" s="389"/>
      <c r="AI83" s="389"/>
    </row>
    <row r="84" spans="2:35" ht="15" customHeight="1" hidden="1">
      <c r="B84" s="383"/>
      <c r="C84" s="383">
        <f>'[1]GASTOS MATRIZ'!B81</f>
        <v>270</v>
      </c>
      <c r="D84" s="381"/>
      <c r="E84" s="390"/>
      <c r="F84" s="390"/>
      <c r="G84" s="383" t="str">
        <f>'[1]GASTOS MATRIZ'!F81</f>
        <v>Servicio Social</v>
      </c>
      <c r="H84" s="382">
        <f aca="true" t="shared" si="17" ref="H84:M84">SUM(H85:H89)</f>
        <v>0</v>
      </c>
      <c r="I84" s="382">
        <f t="shared" si="17"/>
        <v>0</v>
      </c>
      <c r="J84" s="382">
        <f t="shared" si="17"/>
        <v>0</v>
      </c>
      <c r="K84" s="382">
        <f t="shared" si="17"/>
        <v>0</v>
      </c>
      <c r="L84" s="382">
        <f t="shared" si="17"/>
        <v>0</v>
      </c>
      <c r="M84" s="382">
        <f t="shared" si="17"/>
        <v>0</v>
      </c>
      <c r="N84" s="382"/>
      <c r="O84" s="382">
        <f>SUM(E84:J84)</f>
        <v>0</v>
      </c>
      <c r="P84" s="382"/>
      <c r="Q84" s="382"/>
      <c r="R84" s="382"/>
      <c r="S84" s="382"/>
      <c r="T84" s="382">
        <f>SUM(K84:P84)</f>
        <v>0</v>
      </c>
      <c r="U84" s="382">
        <f>SUM(U85:U89)</f>
        <v>0</v>
      </c>
      <c r="V84" s="382">
        <f>SUM(V85:V89)</f>
        <v>0</v>
      </c>
      <c r="W84" s="382">
        <f>SUM(W85:W89)</f>
        <v>0</v>
      </c>
      <c r="X84" s="382">
        <f>SUM(X85:X89)</f>
        <v>0</v>
      </c>
      <c r="Y84" s="382">
        <f>SUM(U84:X84)</f>
        <v>0</v>
      </c>
      <c r="Z84" s="382">
        <f t="shared" si="2"/>
        <v>0</v>
      </c>
      <c r="AA84" s="382">
        <f>SUM(AA85:AA89)</f>
        <v>0</v>
      </c>
      <c r="AB84" s="382">
        <f>SUM(AB85:AB89)</f>
        <v>0</v>
      </c>
      <c r="AC84" s="382">
        <f>SUM(AC85:AC89)</f>
        <v>0</v>
      </c>
      <c r="AD84" s="382">
        <f>SUM(AD85:AD89)</f>
        <v>0</v>
      </c>
      <c r="AE84" s="382">
        <f>SUM(AA84:AD84)</f>
        <v>0</v>
      </c>
      <c r="AF84" s="382">
        <f t="shared" si="8"/>
        <v>0</v>
      </c>
      <c r="AG84" s="382">
        <f>SUM(AG85:AG89)</f>
        <v>0</v>
      </c>
      <c r="AH84" s="382">
        <f>SUM(AH85:AH89)</f>
        <v>0</v>
      </c>
      <c r="AI84" s="382">
        <f>SUM(AI85:AI89)</f>
        <v>0</v>
      </c>
    </row>
    <row r="85" spans="2:35" ht="15" customHeight="1" hidden="1">
      <c r="B85" s="391"/>
      <c r="C85" s="391"/>
      <c r="D85" s="386">
        <f>'[1]GASTOS MATRIZ'!C82</f>
        <v>270</v>
      </c>
      <c r="E85" s="387" t="str">
        <f>'[1]GASTOS MATRIZ'!D82</f>
        <v>30</v>
      </c>
      <c r="F85" s="387" t="str">
        <f>'[1]GASTOS MATRIZ'!E82</f>
        <v>011</v>
      </c>
      <c r="G85" s="391" t="str">
        <f>'[1]GASTOS MATRIZ'!F82</f>
        <v>Servicio Social</v>
      </c>
      <c r="H85" s="389">
        <f>'[1]GASTOS MATRIZ'!G82</f>
        <v>0</v>
      </c>
      <c r="I85" s="389">
        <f>'[1]GASTOS MATRIZ'!H82</f>
        <v>0</v>
      </c>
      <c r="J85" s="389">
        <f>H85+I85</f>
        <v>0</v>
      </c>
      <c r="K85" s="389">
        <f>'[1]RESU X MES'!H73</f>
        <v>0</v>
      </c>
      <c r="L85" s="389">
        <f>'[1]RESU X MES'!H331</f>
        <v>0</v>
      </c>
      <c r="M85" s="389">
        <f>'[1]RESU X MES'!H590</f>
        <v>0</v>
      </c>
      <c r="N85" s="389"/>
      <c r="O85" s="389">
        <f>SUM(E85:J85)</f>
        <v>0</v>
      </c>
      <c r="P85" s="389"/>
      <c r="Q85" s="389"/>
      <c r="R85" s="389"/>
      <c r="S85" s="389"/>
      <c r="T85" s="389">
        <f>SUM(K85:P85)</f>
        <v>0</v>
      </c>
      <c r="U85" s="389">
        <f>'[1]RESU X MES'!H1114</f>
        <v>0</v>
      </c>
      <c r="V85" s="389">
        <f>'[1]RESU X MES'!H1376</f>
        <v>0</v>
      </c>
      <c r="W85" s="389">
        <f>'[1]RESU X MES'!H1639</f>
        <v>0</v>
      </c>
      <c r="X85" s="389">
        <f>'[1]RESU X MES'!H1900</f>
        <v>0</v>
      </c>
      <c r="Y85" s="389">
        <f>SUM(U85:X85)</f>
        <v>0</v>
      </c>
      <c r="Z85" s="389">
        <f aca="true" t="shared" si="18" ref="Z85:Z151">T85+Y85</f>
        <v>0</v>
      </c>
      <c r="AA85" s="389">
        <f>'[1]RESU X MES'!H2159</f>
        <v>0</v>
      </c>
      <c r="AB85" s="389">
        <f>'[1]RESU X MES'!H2421</f>
        <v>0</v>
      </c>
      <c r="AC85" s="389">
        <f>'[1]RESU X MES'!H2683</f>
        <v>0</v>
      </c>
      <c r="AD85" s="389">
        <f>'[1]RESU X MES'!H2946</f>
        <v>0</v>
      </c>
      <c r="AE85" s="389">
        <f>SUM(AA85:AD85)</f>
        <v>0</v>
      </c>
      <c r="AF85" s="389">
        <f t="shared" si="8"/>
        <v>0</v>
      </c>
      <c r="AG85" s="389">
        <f>J85-AF85</f>
        <v>0</v>
      </c>
      <c r="AH85" s="389">
        <f>AF85-AI85</f>
        <v>0</v>
      </c>
      <c r="AI85" s="389">
        <f>'[1]RESU X MES'!N73+'[1]RESU X MES'!N331+'[1]RESU X MES'!N590+'[1]RESU X MES'!N853+'[1]RESU X MES'!N1114+'[1]RESU X MES'!N1376+'[1]RESU X MES'!N1639+'[1]RESU X MES'!N1900+'[1]RESU X MES'!N2159+'[1]RESU X MES'!N2421+'[1]RESU X MES'!N2683+'[1]RESU X MES'!N2946</f>
        <v>0</v>
      </c>
    </row>
    <row r="86" spans="2:35" ht="15" customHeight="1" hidden="1">
      <c r="B86" s="391"/>
      <c r="C86" s="391"/>
      <c r="D86" s="386"/>
      <c r="E86" s="387"/>
      <c r="F86" s="387"/>
      <c r="G86" s="391"/>
      <c r="H86" s="389"/>
      <c r="I86" s="389"/>
      <c r="J86" s="389"/>
      <c r="K86" s="389"/>
      <c r="L86" s="389"/>
      <c r="M86" s="389"/>
      <c r="N86" s="389"/>
      <c r="O86" s="389"/>
      <c r="P86" s="389"/>
      <c r="Q86" s="389"/>
      <c r="R86" s="389"/>
      <c r="S86" s="389"/>
      <c r="T86" s="389"/>
      <c r="U86" s="389"/>
      <c r="V86" s="389"/>
      <c r="W86" s="389"/>
      <c r="X86" s="389"/>
      <c r="Y86" s="389"/>
      <c r="Z86" s="389">
        <f t="shared" si="18"/>
        <v>0</v>
      </c>
      <c r="AA86" s="389"/>
      <c r="AB86" s="389"/>
      <c r="AC86" s="389"/>
      <c r="AD86" s="389"/>
      <c r="AE86" s="389"/>
      <c r="AF86" s="389">
        <f t="shared" si="8"/>
        <v>0</v>
      </c>
      <c r="AG86" s="389"/>
      <c r="AH86" s="389"/>
      <c r="AI86" s="389"/>
    </row>
    <row r="87" spans="2:35" ht="15" customHeight="1" hidden="1">
      <c r="B87" s="391"/>
      <c r="C87" s="391"/>
      <c r="D87" s="386"/>
      <c r="E87" s="387"/>
      <c r="F87" s="387"/>
      <c r="G87" s="391"/>
      <c r="H87" s="389"/>
      <c r="I87" s="389"/>
      <c r="J87" s="389"/>
      <c r="K87" s="389"/>
      <c r="L87" s="389"/>
      <c r="M87" s="389"/>
      <c r="N87" s="389"/>
      <c r="O87" s="389"/>
      <c r="P87" s="389"/>
      <c r="Q87" s="389"/>
      <c r="R87" s="389"/>
      <c r="S87" s="389"/>
      <c r="T87" s="389"/>
      <c r="U87" s="389"/>
      <c r="V87" s="389"/>
      <c r="W87" s="389"/>
      <c r="X87" s="389"/>
      <c r="Y87" s="389"/>
      <c r="Z87" s="389">
        <f t="shared" si="18"/>
        <v>0</v>
      </c>
      <c r="AA87" s="389"/>
      <c r="AB87" s="389"/>
      <c r="AC87" s="389"/>
      <c r="AD87" s="389"/>
      <c r="AE87" s="389"/>
      <c r="AF87" s="389">
        <f t="shared" si="8"/>
        <v>0</v>
      </c>
      <c r="AG87" s="389"/>
      <c r="AH87" s="389"/>
      <c r="AI87" s="389"/>
    </row>
    <row r="88" spans="2:35" ht="15" customHeight="1" hidden="1">
      <c r="B88" s="391"/>
      <c r="C88" s="391"/>
      <c r="D88" s="386"/>
      <c r="E88" s="387"/>
      <c r="F88" s="387"/>
      <c r="G88" s="391"/>
      <c r="H88" s="389"/>
      <c r="I88" s="389"/>
      <c r="J88" s="389"/>
      <c r="K88" s="389"/>
      <c r="L88" s="389"/>
      <c r="M88" s="389"/>
      <c r="N88" s="389"/>
      <c r="O88" s="389"/>
      <c r="P88" s="389"/>
      <c r="Q88" s="389"/>
      <c r="R88" s="389"/>
      <c r="S88" s="389"/>
      <c r="T88" s="389"/>
      <c r="U88" s="389"/>
      <c r="V88" s="389"/>
      <c r="W88" s="389"/>
      <c r="X88" s="389"/>
      <c r="Y88" s="389"/>
      <c r="Z88" s="389">
        <f t="shared" si="18"/>
        <v>0</v>
      </c>
      <c r="AA88" s="389"/>
      <c r="AB88" s="389"/>
      <c r="AC88" s="389"/>
      <c r="AD88" s="389"/>
      <c r="AE88" s="389"/>
      <c r="AF88" s="389">
        <f t="shared" si="8"/>
        <v>0</v>
      </c>
      <c r="AG88" s="389"/>
      <c r="AH88" s="389"/>
      <c r="AI88" s="389"/>
    </row>
    <row r="89" spans="2:35" ht="15" customHeight="1" hidden="1">
      <c r="B89" s="391"/>
      <c r="C89" s="391"/>
      <c r="D89" s="386"/>
      <c r="E89" s="387"/>
      <c r="F89" s="387"/>
      <c r="G89" s="391"/>
      <c r="H89" s="389"/>
      <c r="I89" s="389"/>
      <c r="J89" s="389"/>
      <c r="K89" s="389"/>
      <c r="L89" s="389"/>
      <c r="M89" s="389"/>
      <c r="N89" s="389"/>
      <c r="O89" s="389"/>
      <c r="P89" s="389"/>
      <c r="Q89" s="389"/>
      <c r="R89" s="389"/>
      <c r="S89" s="389"/>
      <c r="T89" s="389"/>
      <c r="U89" s="389"/>
      <c r="V89" s="389"/>
      <c r="W89" s="389"/>
      <c r="X89" s="389"/>
      <c r="Y89" s="389"/>
      <c r="Z89" s="389">
        <f t="shared" si="18"/>
        <v>0</v>
      </c>
      <c r="AA89" s="389"/>
      <c r="AB89" s="389"/>
      <c r="AC89" s="389"/>
      <c r="AD89" s="389"/>
      <c r="AE89" s="389"/>
      <c r="AF89" s="389">
        <f t="shared" si="8"/>
        <v>0</v>
      </c>
      <c r="AG89" s="389"/>
      <c r="AH89" s="389"/>
      <c r="AI89" s="389"/>
    </row>
    <row r="90" spans="2:35" ht="15" customHeight="1" hidden="1">
      <c r="B90" s="383"/>
      <c r="C90" s="383">
        <f>'[1]GASTOS MATRIZ'!B87</f>
        <v>280</v>
      </c>
      <c r="D90" s="381"/>
      <c r="E90" s="390"/>
      <c r="F90" s="390"/>
      <c r="G90" s="383" t="str">
        <f>'[1]GASTOS MATRIZ'!F87</f>
        <v>Otros Servicios Generales</v>
      </c>
      <c r="H90" s="382">
        <f aca="true" t="shared" si="19" ref="H90:M90">SUM(H91:H93)</f>
        <v>0</v>
      </c>
      <c r="I90" s="382">
        <f t="shared" si="19"/>
        <v>0</v>
      </c>
      <c r="J90" s="382">
        <f t="shared" si="19"/>
        <v>0</v>
      </c>
      <c r="K90" s="382">
        <f t="shared" si="19"/>
        <v>0</v>
      </c>
      <c r="L90" s="382">
        <f t="shared" si="19"/>
        <v>0</v>
      </c>
      <c r="M90" s="382">
        <f t="shared" si="19"/>
        <v>0</v>
      </c>
      <c r="N90" s="382"/>
      <c r="O90" s="382">
        <f>SUM(E90:J90)</f>
        <v>0</v>
      </c>
      <c r="P90" s="382"/>
      <c r="Q90" s="382"/>
      <c r="R90" s="382"/>
      <c r="S90" s="382"/>
      <c r="T90" s="382">
        <f>SUM(K90:P90)</f>
        <v>0</v>
      </c>
      <c r="U90" s="382">
        <f>SUM(U91:U93)</f>
        <v>0</v>
      </c>
      <c r="V90" s="382">
        <f>SUM(V91:V93)</f>
        <v>0</v>
      </c>
      <c r="W90" s="382">
        <f>SUM(W91:W93)</f>
        <v>0</v>
      </c>
      <c r="X90" s="382">
        <f>SUM(X91:X93)</f>
        <v>0</v>
      </c>
      <c r="Y90" s="382">
        <f>SUM(U90:X90)</f>
        <v>0</v>
      </c>
      <c r="Z90" s="382">
        <f t="shared" si="18"/>
        <v>0</v>
      </c>
      <c r="AA90" s="382">
        <f>SUM(AA91:AA93)</f>
        <v>0</v>
      </c>
      <c r="AB90" s="382">
        <f>SUM(AB91:AB93)</f>
        <v>0</v>
      </c>
      <c r="AC90" s="382">
        <f>SUM(AC91:AC93)</f>
        <v>0</v>
      </c>
      <c r="AD90" s="382">
        <f>SUM(AD91:AD93)</f>
        <v>0</v>
      </c>
      <c r="AE90" s="382">
        <f>SUM(AA90:AD90)</f>
        <v>0</v>
      </c>
      <c r="AF90" s="382">
        <f t="shared" si="8"/>
        <v>0</v>
      </c>
      <c r="AG90" s="382">
        <f>SUM(AG91:AG93)</f>
        <v>0</v>
      </c>
      <c r="AH90" s="382">
        <f>SUM(AH91:AH93)</f>
        <v>0</v>
      </c>
      <c r="AI90" s="382">
        <f>SUM(AI91:AI93)</f>
        <v>0</v>
      </c>
    </row>
    <row r="91" spans="2:35" ht="15" customHeight="1" hidden="1">
      <c r="B91" s="391"/>
      <c r="C91" s="391"/>
      <c r="D91" s="386">
        <f>'[1]GASTOS MATRIZ'!C88</f>
        <v>280</v>
      </c>
      <c r="E91" s="387" t="str">
        <f>'[1]GASTOS MATRIZ'!D88</f>
        <v>30</v>
      </c>
      <c r="F91" s="387" t="str">
        <f>'[1]GASTOS MATRIZ'!E88</f>
        <v>011</v>
      </c>
      <c r="G91" s="391" t="str">
        <f>'[1]GASTOS MATRIZ'!F88</f>
        <v>Otros Servicios Generales</v>
      </c>
      <c r="H91" s="389">
        <f>'[1]GASTOS MATRIZ'!G88</f>
        <v>0</v>
      </c>
      <c r="I91" s="389">
        <f>'[1]GASTOS MATRIZ'!H88</f>
        <v>0</v>
      </c>
      <c r="J91" s="389">
        <f>H91+I91</f>
        <v>0</v>
      </c>
      <c r="K91" s="389">
        <f>'[1]RESU X MES'!H79</f>
        <v>0</v>
      </c>
      <c r="L91" s="389">
        <f>'[1]RESU X MES'!H337</f>
        <v>0</v>
      </c>
      <c r="M91" s="389">
        <f>'[1]RESU X MES'!H596</f>
        <v>0</v>
      </c>
      <c r="N91" s="389"/>
      <c r="O91" s="389">
        <f>SUM(E91:J91)</f>
        <v>0</v>
      </c>
      <c r="P91" s="389"/>
      <c r="Q91" s="389"/>
      <c r="R91" s="389"/>
      <c r="S91" s="389"/>
      <c r="T91" s="389">
        <f>SUM(K91:P91)</f>
        <v>0</v>
      </c>
      <c r="U91" s="389">
        <f>'[1]RESU X MES'!H1120</f>
        <v>0</v>
      </c>
      <c r="V91" s="389">
        <f>'[1]RESU X MES'!H1382</f>
        <v>0</v>
      </c>
      <c r="W91" s="389">
        <f>'[1]RESU X MES'!H1645</f>
        <v>0</v>
      </c>
      <c r="X91" s="389">
        <f>'[1]RESU X MES'!H1906</f>
        <v>0</v>
      </c>
      <c r="Y91" s="389">
        <f>SUM(U91:X91)</f>
        <v>0</v>
      </c>
      <c r="Z91" s="389">
        <f t="shared" si="18"/>
        <v>0</v>
      </c>
      <c r="AA91" s="389">
        <f>'[1]RESU X MES'!H2165</f>
        <v>0</v>
      </c>
      <c r="AB91" s="389">
        <f>'[1]RESU X MES'!H2427</f>
        <v>0</v>
      </c>
      <c r="AC91" s="389">
        <f>'[1]RESU X MES'!H2689</f>
        <v>0</v>
      </c>
      <c r="AD91" s="389">
        <f>'[1]RESU X MES'!H2952</f>
        <v>0</v>
      </c>
      <c r="AE91" s="389">
        <f>SUM(AA91:AD91)</f>
        <v>0</v>
      </c>
      <c r="AF91" s="389">
        <f t="shared" si="8"/>
        <v>0</v>
      </c>
      <c r="AG91" s="389">
        <f>J91-AF91</f>
        <v>0</v>
      </c>
      <c r="AH91" s="389">
        <f>AF91-AI91</f>
        <v>0</v>
      </c>
      <c r="AI91" s="389">
        <f>'[1]RESU X MES'!N79+'[1]RESU X MES'!N337+'[1]RESU X MES'!N596+'[1]RESU X MES'!N859+'[1]RESU X MES'!N1120+'[1]RESU X MES'!N1382+'[1]RESU X MES'!N1645+'[1]RESU X MES'!N1906+'[1]RESU X MES'!N2165+'[1]RESU X MES'!N2427+'[1]RESU X MES'!N2689+'[1]RESU X MES'!N2952</f>
        <v>0</v>
      </c>
    </row>
    <row r="92" spans="2:35" ht="15" customHeight="1" hidden="1">
      <c r="B92" s="391"/>
      <c r="C92" s="391"/>
      <c r="D92" s="386"/>
      <c r="E92" s="387"/>
      <c r="F92" s="387"/>
      <c r="G92" s="391"/>
      <c r="H92" s="389"/>
      <c r="I92" s="389"/>
      <c r="J92" s="389"/>
      <c r="K92" s="389"/>
      <c r="L92" s="389"/>
      <c r="M92" s="389"/>
      <c r="N92" s="389"/>
      <c r="O92" s="389"/>
      <c r="P92" s="389"/>
      <c r="Q92" s="389"/>
      <c r="R92" s="389"/>
      <c r="S92" s="389"/>
      <c r="T92" s="389"/>
      <c r="U92" s="389"/>
      <c r="V92" s="389"/>
      <c r="W92" s="389"/>
      <c r="X92" s="389"/>
      <c r="Y92" s="389"/>
      <c r="Z92" s="389">
        <f t="shared" si="18"/>
        <v>0</v>
      </c>
      <c r="AA92" s="389"/>
      <c r="AB92" s="389"/>
      <c r="AC92" s="389"/>
      <c r="AD92" s="389"/>
      <c r="AE92" s="389"/>
      <c r="AF92" s="389">
        <f t="shared" si="8"/>
        <v>0</v>
      </c>
      <c r="AG92" s="389"/>
      <c r="AH92" s="389"/>
      <c r="AI92" s="389"/>
    </row>
    <row r="93" spans="2:35" ht="15" customHeight="1" hidden="1">
      <c r="B93" s="391"/>
      <c r="C93" s="391"/>
      <c r="D93" s="386"/>
      <c r="E93" s="387"/>
      <c r="F93" s="387"/>
      <c r="G93" s="391"/>
      <c r="H93" s="389"/>
      <c r="I93" s="389"/>
      <c r="J93" s="389"/>
      <c r="K93" s="389"/>
      <c r="L93" s="389"/>
      <c r="M93" s="389"/>
      <c r="N93" s="389"/>
      <c r="O93" s="389"/>
      <c r="P93" s="389"/>
      <c r="Q93" s="389"/>
      <c r="R93" s="389"/>
      <c r="S93" s="389"/>
      <c r="T93" s="389"/>
      <c r="U93" s="389"/>
      <c r="V93" s="389"/>
      <c r="W93" s="389"/>
      <c r="X93" s="389"/>
      <c r="Y93" s="389"/>
      <c r="Z93" s="389">
        <f t="shared" si="18"/>
        <v>0</v>
      </c>
      <c r="AA93" s="389"/>
      <c r="AB93" s="389"/>
      <c r="AC93" s="389"/>
      <c r="AD93" s="389"/>
      <c r="AE93" s="389"/>
      <c r="AF93" s="389">
        <f t="shared" si="8"/>
        <v>0</v>
      </c>
      <c r="AG93" s="389"/>
      <c r="AH93" s="389"/>
      <c r="AI93" s="389"/>
    </row>
    <row r="94" spans="2:35" ht="15" customHeight="1" hidden="1">
      <c r="B94" s="381"/>
      <c r="C94" s="381">
        <f>'[1]GASTOS MATRIZ'!B91</f>
        <v>290</v>
      </c>
      <c r="D94" s="381"/>
      <c r="E94" s="390"/>
      <c r="F94" s="390"/>
      <c r="G94" s="385" t="str">
        <f>'[1]GASTOS MATRIZ'!F91</f>
        <v>Servicios de Capacitación y Adiestramiento</v>
      </c>
      <c r="H94" s="382">
        <f aca="true" t="shared" si="20" ref="H94:M94">SUM(H95:H96)</f>
        <v>0</v>
      </c>
      <c r="I94" s="382">
        <f t="shared" si="20"/>
        <v>0</v>
      </c>
      <c r="J94" s="382">
        <f t="shared" si="20"/>
        <v>0</v>
      </c>
      <c r="K94" s="382">
        <f t="shared" si="20"/>
        <v>0</v>
      </c>
      <c r="L94" s="382">
        <f t="shared" si="20"/>
        <v>0</v>
      </c>
      <c r="M94" s="382">
        <f t="shared" si="20"/>
        <v>0</v>
      </c>
      <c r="N94" s="382"/>
      <c r="O94" s="382">
        <f>SUM(E94:J94)</f>
        <v>0</v>
      </c>
      <c r="P94" s="382"/>
      <c r="Q94" s="382"/>
      <c r="R94" s="382"/>
      <c r="S94" s="382"/>
      <c r="T94" s="382">
        <f>SUM(K94:P94)</f>
        <v>0</v>
      </c>
      <c r="U94" s="382">
        <f>SUM(U95:U96)</f>
        <v>0</v>
      </c>
      <c r="V94" s="382">
        <f>SUM(V95:V96)</f>
        <v>0</v>
      </c>
      <c r="W94" s="382">
        <f>SUM(W95:W96)</f>
        <v>0</v>
      </c>
      <c r="X94" s="382">
        <f>SUM(X95:X96)</f>
        <v>0</v>
      </c>
      <c r="Y94" s="382">
        <f>SUM(U94:X94)</f>
        <v>0</v>
      </c>
      <c r="Z94" s="382">
        <f t="shared" si="18"/>
        <v>0</v>
      </c>
      <c r="AA94" s="382">
        <f>SUM(AA95:AA96)</f>
        <v>0</v>
      </c>
      <c r="AB94" s="382">
        <f>SUM(AB95:AB96)</f>
        <v>0</v>
      </c>
      <c r="AC94" s="382">
        <f>SUM(AC95:AC96)</f>
        <v>0</v>
      </c>
      <c r="AD94" s="382">
        <f>SUM(AD95:AD96)</f>
        <v>0</v>
      </c>
      <c r="AE94" s="382">
        <f>SUM(AA94:AD94)</f>
        <v>0</v>
      </c>
      <c r="AF94" s="382">
        <f t="shared" si="8"/>
        <v>0</v>
      </c>
      <c r="AG94" s="382">
        <f>SUM(AG95:AG96)</f>
        <v>0</v>
      </c>
      <c r="AH94" s="382">
        <f>SUM(AH95:AH96)</f>
        <v>0</v>
      </c>
      <c r="AI94" s="382">
        <f>SUM(AI95:AI96)</f>
        <v>0</v>
      </c>
    </row>
    <row r="95" spans="2:35" ht="15" customHeight="1" hidden="1">
      <c r="B95" s="386"/>
      <c r="C95" s="386"/>
      <c r="D95" s="386">
        <f>'[1]GASTOS MATRIZ'!C92</f>
        <v>290</v>
      </c>
      <c r="E95" s="387" t="str">
        <f>'[1]GASTOS MATRIZ'!D92</f>
        <v>30</v>
      </c>
      <c r="F95" s="387" t="str">
        <f>'[1]GASTOS MATRIZ'!E92</f>
        <v>011</v>
      </c>
      <c r="G95" s="388" t="str">
        <f>'[1]GASTOS MATRIZ'!F92</f>
        <v>Servicios de Capacitación y Adiestramiento</v>
      </c>
      <c r="H95" s="389">
        <f>'[1]GASTOS MATRIZ'!G92</f>
        <v>0</v>
      </c>
      <c r="I95" s="389">
        <f>'[1]GASTOS MATRIZ'!H92</f>
        <v>0</v>
      </c>
      <c r="J95" s="389">
        <f>H95+I95</f>
        <v>0</v>
      </c>
      <c r="K95" s="389">
        <f>'[1]RESU X MES'!H83</f>
        <v>0</v>
      </c>
      <c r="L95" s="389">
        <f>'[1]RESU X MES'!H341</f>
        <v>0</v>
      </c>
      <c r="M95" s="389">
        <f>'[1]RESU X MES'!H600</f>
        <v>0</v>
      </c>
      <c r="N95" s="389"/>
      <c r="O95" s="389">
        <f>SUM(E95:J95)</f>
        <v>0</v>
      </c>
      <c r="P95" s="389"/>
      <c r="Q95" s="389"/>
      <c r="R95" s="389"/>
      <c r="S95" s="389"/>
      <c r="T95" s="389">
        <f>SUM(K95:P95)</f>
        <v>0</v>
      </c>
      <c r="U95" s="389">
        <f>'[1]RESU X MES'!H1124</f>
        <v>0</v>
      </c>
      <c r="V95" s="389">
        <f>'[1]RESU X MES'!H1386</f>
        <v>0</v>
      </c>
      <c r="W95" s="389">
        <f>'[1]RESU X MES'!H1649</f>
        <v>0</v>
      </c>
      <c r="X95" s="389">
        <f>'[1]RESU X MES'!H1910</f>
        <v>0</v>
      </c>
      <c r="Y95" s="389">
        <f>SUM(U95:X95)</f>
        <v>0</v>
      </c>
      <c r="Z95" s="389">
        <f t="shared" si="18"/>
        <v>0</v>
      </c>
      <c r="AA95" s="389">
        <f>'[1]RESU X MES'!H2169</f>
        <v>0</v>
      </c>
      <c r="AB95" s="389">
        <f>'[1]RESU X MES'!H2431</f>
        <v>0</v>
      </c>
      <c r="AC95" s="389">
        <f>'[1]RESU X MES'!H2693</f>
        <v>0</v>
      </c>
      <c r="AD95" s="389">
        <f>'[1]RESU X MES'!H2956</f>
        <v>0</v>
      </c>
      <c r="AE95" s="389">
        <f>SUM(AA95:AD95)</f>
        <v>0</v>
      </c>
      <c r="AF95" s="389">
        <f t="shared" si="8"/>
        <v>0</v>
      </c>
      <c r="AG95" s="389">
        <f>J95-AF95</f>
        <v>0</v>
      </c>
      <c r="AH95" s="389">
        <f>AF95-AI95</f>
        <v>0</v>
      </c>
      <c r="AI95" s="389">
        <f>'[1]RESU X MES'!N83+'[1]RESU X MES'!N341+'[1]RESU X MES'!N600+'[1]RESU X MES'!N863+'[1]RESU X MES'!N1124+'[1]RESU X MES'!N1386+'[1]RESU X MES'!N1649+'[1]RESU X MES'!N1910+'[1]RESU X MES'!N2169+'[1]RESU X MES'!N2431+'[1]RESU X MES'!N2693+'[1]RESU X MES'!N2956</f>
        <v>0</v>
      </c>
    </row>
    <row r="96" spans="2:35" ht="15" customHeight="1" hidden="1">
      <c r="B96" s="386"/>
      <c r="C96" s="386"/>
      <c r="D96" s="386"/>
      <c r="E96" s="387"/>
      <c r="F96" s="387"/>
      <c r="G96" s="388"/>
      <c r="H96" s="389"/>
      <c r="I96" s="389"/>
      <c r="J96" s="389"/>
      <c r="K96" s="389"/>
      <c r="L96" s="389"/>
      <c r="M96" s="389"/>
      <c r="N96" s="389"/>
      <c r="O96" s="389"/>
      <c r="P96" s="389"/>
      <c r="Q96" s="389"/>
      <c r="R96" s="389"/>
      <c r="S96" s="389"/>
      <c r="T96" s="389"/>
      <c r="U96" s="389"/>
      <c r="V96" s="389"/>
      <c r="W96" s="389"/>
      <c r="X96" s="389"/>
      <c r="Y96" s="389"/>
      <c r="Z96" s="389">
        <f t="shared" si="18"/>
        <v>0</v>
      </c>
      <c r="AA96" s="389"/>
      <c r="AB96" s="389"/>
      <c r="AC96" s="389"/>
      <c r="AD96" s="389"/>
      <c r="AE96" s="389"/>
      <c r="AF96" s="389">
        <f t="shared" si="8"/>
        <v>0</v>
      </c>
      <c r="AG96" s="389"/>
      <c r="AH96" s="389"/>
      <c r="AI96" s="389"/>
    </row>
    <row r="97" spans="2:35" ht="12" customHeight="1" hidden="1">
      <c r="B97" s="391"/>
      <c r="C97" s="391"/>
      <c r="D97" s="386"/>
      <c r="E97" s="387"/>
      <c r="F97" s="387"/>
      <c r="G97" s="391"/>
      <c r="H97" s="389"/>
      <c r="I97" s="389"/>
      <c r="J97" s="389"/>
      <c r="K97" s="389"/>
      <c r="L97" s="389"/>
      <c r="M97" s="389"/>
      <c r="N97" s="389"/>
      <c r="O97" s="389"/>
      <c r="P97" s="389"/>
      <c r="Q97" s="389"/>
      <c r="R97" s="389"/>
      <c r="S97" s="389"/>
      <c r="T97" s="389"/>
      <c r="U97" s="389"/>
      <c r="V97" s="389"/>
      <c r="W97" s="389"/>
      <c r="X97" s="389"/>
      <c r="Y97" s="389"/>
      <c r="Z97" s="389">
        <f t="shared" si="18"/>
        <v>0</v>
      </c>
      <c r="AA97" s="389"/>
      <c r="AB97" s="389"/>
      <c r="AC97" s="389"/>
      <c r="AD97" s="389"/>
      <c r="AE97" s="389"/>
      <c r="AF97" s="389">
        <f t="shared" si="8"/>
        <v>0</v>
      </c>
      <c r="AG97" s="389"/>
      <c r="AH97" s="389"/>
      <c r="AI97" s="389"/>
    </row>
    <row r="98" spans="2:35" s="417" customFormat="1" ht="12" customHeight="1">
      <c r="B98" s="383"/>
      <c r="C98" s="383">
        <v>260</v>
      </c>
      <c r="D98" s="381"/>
      <c r="E98" s="390"/>
      <c r="F98" s="390"/>
      <c r="G98" s="383" t="s">
        <v>557</v>
      </c>
      <c r="H98" s="382">
        <f>+H99</f>
        <v>0</v>
      </c>
      <c r="I98" s="382">
        <f aca="true" t="shared" si="21" ref="I98:AI98">+I99</f>
        <v>40000000</v>
      </c>
      <c r="J98" s="382">
        <f t="shared" si="21"/>
        <v>40000000</v>
      </c>
      <c r="K98" s="382">
        <f t="shared" si="21"/>
        <v>0</v>
      </c>
      <c r="L98" s="382">
        <f t="shared" si="21"/>
        <v>0</v>
      </c>
      <c r="M98" s="382">
        <f t="shared" si="21"/>
        <v>0</v>
      </c>
      <c r="N98" s="382">
        <f t="shared" si="21"/>
        <v>0</v>
      </c>
      <c r="O98" s="382">
        <f t="shared" si="21"/>
        <v>0</v>
      </c>
      <c r="P98" s="382">
        <f>+P99</f>
        <v>40000000</v>
      </c>
      <c r="Q98" s="382">
        <f t="shared" si="21"/>
        <v>0</v>
      </c>
      <c r="R98" s="382">
        <f t="shared" si="21"/>
        <v>0</v>
      </c>
      <c r="S98" s="382">
        <f t="shared" si="21"/>
        <v>0</v>
      </c>
      <c r="T98" s="382">
        <f t="shared" si="21"/>
        <v>0</v>
      </c>
      <c r="U98" s="382">
        <f t="shared" si="21"/>
        <v>0</v>
      </c>
      <c r="V98" s="382">
        <f t="shared" si="21"/>
        <v>0</v>
      </c>
      <c r="W98" s="382">
        <f t="shared" si="21"/>
        <v>0</v>
      </c>
      <c r="X98" s="382">
        <f t="shared" si="21"/>
        <v>0</v>
      </c>
      <c r="Y98" s="382">
        <f t="shared" si="21"/>
        <v>0</v>
      </c>
      <c r="Z98" s="382">
        <f t="shared" si="21"/>
        <v>0</v>
      </c>
      <c r="AA98" s="382">
        <f t="shared" si="21"/>
        <v>0</v>
      </c>
      <c r="AB98" s="382">
        <f t="shared" si="21"/>
        <v>0</v>
      </c>
      <c r="AC98" s="382">
        <f t="shared" si="21"/>
        <v>0</v>
      </c>
      <c r="AD98" s="382">
        <f t="shared" si="21"/>
        <v>0</v>
      </c>
      <c r="AE98" s="382">
        <f t="shared" si="21"/>
        <v>0</v>
      </c>
      <c r="AF98" s="382">
        <f t="shared" si="8"/>
        <v>40000000</v>
      </c>
      <c r="AG98" s="382">
        <f t="shared" si="21"/>
        <v>0</v>
      </c>
      <c r="AH98" s="382">
        <f t="shared" si="21"/>
        <v>40000000</v>
      </c>
      <c r="AI98" s="382">
        <f t="shared" si="21"/>
        <v>0</v>
      </c>
    </row>
    <row r="99" spans="2:35" ht="12" customHeight="1">
      <c r="B99" s="391"/>
      <c r="C99" s="391"/>
      <c r="D99" s="386">
        <v>260</v>
      </c>
      <c r="E99" s="387" t="s">
        <v>77</v>
      </c>
      <c r="F99" s="387" t="s">
        <v>32</v>
      </c>
      <c r="G99" s="391" t="s">
        <v>557</v>
      </c>
      <c r="H99" s="389"/>
      <c r="I99" s="389">
        <v>40000000</v>
      </c>
      <c r="J99" s="389">
        <f>+I99</f>
        <v>40000000</v>
      </c>
      <c r="K99" s="389">
        <v>0</v>
      </c>
      <c r="L99" s="389">
        <v>0</v>
      </c>
      <c r="M99" s="389">
        <v>0</v>
      </c>
      <c r="N99" s="389">
        <v>0</v>
      </c>
      <c r="O99" s="389"/>
      <c r="P99" s="389">
        <v>40000000</v>
      </c>
      <c r="Q99" s="389">
        <v>0</v>
      </c>
      <c r="R99" s="389"/>
      <c r="S99" s="389"/>
      <c r="T99" s="389"/>
      <c r="U99" s="389"/>
      <c r="V99" s="389"/>
      <c r="W99" s="389"/>
      <c r="X99" s="389"/>
      <c r="Y99" s="389"/>
      <c r="Z99" s="389"/>
      <c r="AA99" s="389"/>
      <c r="AB99" s="389"/>
      <c r="AC99" s="389"/>
      <c r="AD99" s="389"/>
      <c r="AE99" s="389"/>
      <c r="AF99" s="389">
        <f t="shared" si="8"/>
        <v>40000000</v>
      </c>
      <c r="AG99" s="389"/>
      <c r="AH99" s="389">
        <f>+AF99</f>
        <v>40000000</v>
      </c>
      <c r="AI99" s="389"/>
    </row>
    <row r="100" spans="2:35" ht="12" customHeight="1">
      <c r="B100" s="391"/>
      <c r="C100" s="391"/>
      <c r="D100" s="386"/>
      <c r="E100" s="387"/>
      <c r="F100" s="387"/>
      <c r="G100" s="391"/>
      <c r="H100" s="389"/>
      <c r="I100" s="389"/>
      <c r="J100" s="389"/>
      <c r="K100" s="389"/>
      <c r="L100" s="389"/>
      <c r="M100" s="389"/>
      <c r="N100" s="389"/>
      <c r="O100" s="389"/>
      <c r="P100" s="389"/>
      <c r="Q100" s="389"/>
      <c r="R100" s="389"/>
      <c r="S100" s="389"/>
      <c r="T100" s="389"/>
      <c r="U100" s="389"/>
      <c r="V100" s="389"/>
      <c r="W100" s="389"/>
      <c r="X100" s="389"/>
      <c r="Y100" s="389"/>
      <c r="Z100" s="389"/>
      <c r="AA100" s="389"/>
      <c r="AB100" s="389"/>
      <c r="AC100" s="389"/>
      <c r="AD100" s="389"/>
      <c r="AE100" s="389"/>
      <c r="AF100" s="389">
        <f t="shared" si="8"/>
        <v>0</v>
      </c>
      <c r="AG100" s="389"/>
      <c r="AH100" s="389"/>
      <c r="AI100" s="389"/>
    </row>
    <row r="101" spans="2:35" ht="14.25">
      <c r="B101" s="381">
        <f>'[1]GASTOS MATRIZ'!A95</f>
        <v>300</v>
      </c>
      <c r="C101" s="381"/>
      <c r="D101" s="381"/>
      <c r="E101" s="390"/>
      <c r="F101" s="390"/>
      <c r="G101" s="383" t="str">
        <f>'[1]GASTOS MATRIZ'!F95</f>
        <v>BIENES DE CONSUMO E INSUMOS</v>
      </c>
      <c r="H101" s="382">
        <f aca="true" t="shared" si="22" ref="H101:AI101">H102+H106+H110+H116+H122+H126+H132</f>
        <v>132054906</v>
      </c>
      <c r="I101" s="382">
        <f t="shared" si="22"/>
        <v>-68209856</v>
      </c>
      <c r="J101" s="382">
        <f t="shared" si="22"/>
        <v>63845050</v>
      </c>
      <c r="K101" s="382">
        <f t="shared" si="22"/>
        <v>0</v>
      </c>
      <c r="L101" s="382">
        <f t="shared" si="22"/>
        <v>0</v>
      </c>
      <c r="M101" s="382">
        <f t="shared" si="22"/>
        <v>0</v>
      </c>
      <c r="N101" s="382">
        <f t="shared" si="22"/>
        <v>0</v>
      </c>
      <c r="O101" s="382">
        <f t="shared" si="22"/>
        <v>0</v>
      </c>
      <c r="P101" s="382">
        <f t="shared" si="22"/>
        <v>0</v>
      </c>
      <c r="Q101" s="382">
        <f t="shared" si="22"/>
        <v>25000000</v>
      </c>
      <c r="R101" s="382">
        <f t="shared" si="22"/>
        <v>0</v>
      </c>
      <c r="S101" s="382">
        <f t="shared" si="22"/>
        <v>30000000</v>
      </c>
      <c r="T101" s="382">
        <f t="shared" si="22"/>
        <v>0</v>
      </c>
      <c r="U101" s="382">
        <f t="shared" si="22"/>
        <v>0</v>
      </c>
      <c r="V101" s="382">
        <f t="shared" si="22"/>
        <v>0</v>
      </c>
      <c r="W101" s="382">
        <f t="shared" si="22"/>
        <v>0</v>
      </c>
      <c r="X101" s="382">
        <f t="shared" si="22"/>
        <v>0</v>
      </c>
      <c r="Y101" s="382">
        <f t="shared" si="22"/>
        <v>0</v>
      </c>
      <c r="Z101" s="382">
        <f t="shared" si="22"/>
        <v>0</v>
      </c>
      <c r="AA101" s="382">
        <f t="shared" si="22"/>
        <v>0</v>
      </c>
      <c r="AB101" s="382">
        <f t="shared" si="22"/>
        <v>0</v>
      </c>
      <c r="AC101" s="382">
        <f t="shared" si="22"/>
        <v>0</v>
      </c>
      <c r="AD101" s="382">
        <f t="shared" si="22"/>
        <v>0</v>
      </c>
      <c r="AE101" s="382">
        <f t="shared" si="22"/>
        <v>0</v>
      </c>
      <c r="AF101" s="382">
        <f t="shared" si="8"/>
        <v>55000000</v>
      </c>
      <c r="AG101" s="382">
        <f t="shared" si="22"/>
        <v>8845050</v>
      </c>
      <c r="AH101" s="382">
        <f t="shared" si="22"/>
        <v>55000000</v>
      </c>
      <c r="AI101" s="382">
        <f t="shared" si="22"/>
        <v>0</v>
      </c>
    </row>
    <row r="102" spans="2:35" ht="15" customHeight="1" hidden="1">
      <c r="B102" s="383"/>
      <c r="C102" s="383">
        <f>'[1]GASTOS MATRIZ'!B96</f>
        <v>310</v>
      </c>
      <c r="D102" s="381"/>
      <c r="E102" s="390"/>
      <c r="F102" s="390"/>
      <c r="G102" s="383" t="str">
        <f>'[1]GASTOS MATRIZ'!F96</f>
        <v>Productos  Alimenticios</v>
      </c>
      <c r="H102" s="382">
        <f aca="true" t="shared" si="23" ref="H102:M102">SUM(H103:H105)</f>
        <v>0</v>
      </c>
      <c r="I102" s="382">
        <f t="shared" si="23"/>
        <v>0</v>
      </c>
      <c r="J102" s="382">
        <f t="shared" si="23"/>
        <v>0</v>
      </c>
      <c r="K102" s="382">
        <f t="shared" si="23"/>
        <v>0</v>
      </c>
      <c r="L102" s="382">
        <f t="shared" si="23"/>
        <v>0</v>
      </c>
      <c r="M102" s="382">
        <f t="shared" si="23"/>
        <v>0</v>
      </c>
      <c r="N102" s="382"/>
      <c r="O102" s="382">
        <f>SUM(E102:J102)</f>
        <v>0</v>
      </c>
      <c r="P102" s="382"/>
      <c r="Q102" s="382"/>
      <c r="R102" s="382"/>
      <c r="S102" s="382"/>
      <c r="T102" s="382">
        <f>SUM(K102:P102)</f>
        <v>0</v>
      </c>
      <c r="U102" s="382">
        <f>SUM(U103:U105)</f>
        <v>0</v>
      </c>
      <c r="V102" s="382">
        <f>SUM(V103:V105)</f>
        <v>0</v>
      </c>
      <c r="W102" s="382">
        <f>SUM(W103:W105)</f>
        <v>0</v>
      </c>
      <c r="X102" s="382">
        <f>SUM(X103:X105)</f>
        <v>0</v>
      </c>
      <c r="Y102" s="382">
        <f>SUM(U102:X102)</f>
        <v>0</v>
      </c>
      <c r="Z102" s="382">
        <f t="shared" si="18"/>
        <v>0</v>
      </c>
      <c r="AA102" s="382">
        <f>SUM(AA103:AA105)</f>
        <v>0</v>
      </c>
      <c r="AB102" s="382">
        <f>SUM(AB103:AB105)</f>
        <v>0</v>
      </c>
      <c r="AC102" s="382">
        <f>SUM(AC103:AC105)</f>
        <v>0</v>
      </c>
      <c r="AD102" s="382">
        <f>SUM(AD103:AD105)</f>
        <v>0</v>
      </c>
      <c r="AE102" s="382">
        <f>SUM(AA102:AD102)</f>
        <v>0</v>
      </c>
      <c r="AF102" s="382">
        <f t="shared" si="8"/>
        <v>0</v>
      </c>
      <c r="AG102" s="382">
        <f>SUM(AG103:AG105)</f>
        <v>0</v>
      </c>
      <c r="AH102" s="382">
        <f>SUM(AH103:AH105)</f>
        <v>0</v>
      </c>
      <c r="AI102" s="382">
        <f>SUM(AI103:AI105)</f>
        <v>0</v>
      </c>
    </row>
    <row r="103" spans="2:35" ht="15" customHeight="1" hidden="1">
      <c r="B103" s="391"/>
      <c r="C103" s="391"/>
      <c r="D103" s="386"/>
      <c r="E103" s="387"/>
      <c r="F103" s="387"/>
      <c r="G103" s="391"/>
      <c r="H103" s="389"/>
      <c r="I103" s="389"/>
      <c r="J103" s="389"/>
      <c r="K103" s="389"/>
      <c r="L103" s="389"/>
      <c r="M103" s="389"/>
      <c r="N103" s="389"/>
      <c r="O103" s="389"/>
      <c r="P103" s="389"/>
      <c r="Q103" s="389"/>
      <c r="R103" s="389"/>
      <c r="S103" s="389"/>
      <c r="T103" s="389"/>
      <c r="U103" s="389"/>
      <c r="V103" s="389"/>
      <c r="W103" s="389"/>
      <c r="X103" s="389"/>
      <c r="Y103" s="389"/>
      <c r="Z103" s="389">
        <f t="shared" si="18"/>
        <v>0</v>
      </c>
      <c r="AA103" s="389"/>
      <c r="AB103" s="389"/>
      <c r="AC103" s="389"/>
      <c r="AD103" s="389"/>
      <c r="AE103" s="389"/>
      <c r="AF103" s="389">
        <f t="shared" si="8"/>
        <v>0</v>
      </c>
      <c r="AG103" s="389"/>
      <c r="AH103" s="389"/>
      <c r="AI103" s="389"/>
    </row>
    <row r="104" spans="2:35" ht="15" customHeight="1" hidden="1">
      <c r="B104" s="391"/>
      <c r="C104" s="391"/>
      <c r="D104" s="386"/>
      <c r="E104" s="387"/>
      <c r="F104" s="387"/>
      <c r="G104" s="391"/>
      <c r="H104" s="389"/>
      <c r="I104" s="389"/>
      <c r="J104" s="389"/>
      <c r="K104" s="389"/>
      <c r="L104" s="389"/>
      <c r="M104" s="389"/>
      <c r="N104" s="389"/>
      <c r="O104" s="389"/>
      <c r="P104" s="389"/>
      <c r="Q104" s="389"/>
      <c r="R104" s="389"/>
      <c r="S104" s="389"/>
      <c r="T104" s="389"/>
      <c r="U104" s="389"/>
      <c r="V104" s="389"/>
      <c r="W104" s="389"/>
      <c r="X104" s="389"/>
      <c r="Y104" s="389"/>
      <c r="Z104" s="389">
        <f t="shared" si="18"/>
        <v>0</v>
      </c>
      <c r="AA104" s="389"/>
      <c r="AB104" s="389"/>
      <c r="AC104" s="389"/>
      <c r="AD104" s="389"/>
      <c r="AE104" s="389"/>
      <c r="AF104" s="389">
        <f t="shared" si="8"/>
        <v>0</v>
      </c>
      <c r="AG104" s="389"/>
      <c r="AH104" s="389"/>
      <c r="AI104" s="389"/>
    </row>
    <row r="105" spans="2:35" ht="15" customHeight="1" hidden="1">
      <c r="B105" s="391"/>
      <c r="C105" s="391"/>
      <c r="D105" s="386"/>
      <c r="E105" s="387"/>
      <c r="F105" s="387"/>
      <c r="G105" s="391"/>
      <c r="H105" s="389"/>
      <c r="I105" s="389"/>
      <c r="J105" s="389"/>
      <c r="K105" s="389"/>
      <c r="L105" s="389"/>
      <c r="M105" s="389"/>
      <c r="N105" s="389"/>
      <c r="O105" s="389"/>
      <c r="P105" s="389"/>
      <c r="Q105" s="389"/>
      <c r="R105" s="389"/>
      <c r="S105" s="389"/>
      <c r="T105" s="389"/>
      <c r="U105" s="389"/>
      <c r="V105" s="389"/>
      <c r="W105" s="389"/>
      <c r="X105" s="389"/>
      <c r="Y105" s="389"/>
      <c r="Z105" s="389">
        <f t="shared" si="18"/>
        <v>0</v>
      </c>
      <c r="AA105" s="389"/>
      <c r="AB105" s="389"/>
      <c r="AC105" s="389"/>
      <c r="AD105" s="389"/>
      <c r="AE105" s="389"/>
      <c r="AF105" s="389">
        <f t="shared" si="8"/>
        <v>0</v>
      </c>
      <c r="AG105" s="389"/>
      <c r="AH105" s="389"/>
      <c r="AI105" s="389"/>
    </row>
    <row r="106" spans="2:35" ht="15" customHeight="1" hidden="1">
      <c r="B106" s="383"/>
      <c r="C106" s="383">
        <f>'[1]GASTOS MATRIZ'!B100</f>
        <v>320</v>
      </c>
      <c r="D106" s="381"/>
      <c r="E106" s="390"/>
      <c r="F106" s="390"/>
      <c r="G106" s="383" t="str">
        <f>'[1]GASTOS MATRIZ'!F100</f>
        <v>Textiles y Vestuarios</v>
      </c>
      <c r="H106" s="382">
        <f aca="true" t="shared" si="24" ref="H106:M106">SUM(H107:H109)</f>
        <v>0</v>
      </c>
      <c r="I106" s="382">
        <f t="shared" si="24"/>
        <v>0</v>
      </c>
      <c r="J106" s="382">
        <f t="shared" si="24"/>
        <v>0</v>
      </c>
      <c r="K106" s="382">
        <f t="shared" si="24"/>
        <v>0</v>
      </c>
      <c r="L106" s="382">
        <f t="shared" si="24"/>
        <v>0</v>
      </c>
      <c r="M106" s="382">
        <f t="shared" si="24"/>
        <v>0</v>
      </c>
      <c r="N106" s="382"/>
      <c r="O106" s="382">
        <f>SUM(E106:J106)</f>
        <v>0</v>
      </c>
      <c r="P106" s="382"/>
      <c r="Q106" s="382"/>
      <c r="R106" s="382"/>
      <c r="S106" s="382"/>
      <c r="T106" s="382">
        <f>SUM(K106:P106)</f>
        <v>0</v>
      </c>
      <c r="U106" s="382">
        <f>SUM(U107:U109)</f>
        <v>0</v>
      </c>
      <c r="V106" s="382">
        <f>SUM(V107:V109)</f>
        <v>0</v>
      </c>
      <c r="W106" s="382">
        <f>SUM(W107:W109)</f>
        <v>0</v>
      </c>
      <c r="X106" s="382">
        <f>SUM(X107:X109)</f>
        <v>0</v>
      </c>
      <c r="Y106" s="382">
        <f>SUM(U106:X106)</f>
        <v>0</v>
      </c>
      <c r="Z106" s="382">
        <f t="shared" si="18"/>
        <v>0</v>
      </c>
      <c r="AA106" s="382">
        <f>SUM(AA107:AA109)</f>
        <v>0</v>
      </c>
      <c r="AB106" s="382">
        <f>SUM(AB107:AB109)</f>
        <v>0</v>
      </c>
      <c r="AC106" s="382">
        <f>SUM(AC107:AC109)</f>
        <v>0</v>
      </c>
      <c r="AD106" s="382">
        <f>SUM(AD107:AD109)</f>
        <v>0</v>
      </c>
      <c r="AE106" s="382">
        <f>SUM(AA106:AD106)</f>
        <v>0</v>
      </c>
      <c r="AF106" s="382">
        <f t="shared" si="8"/>
        <v>0</v>
      </c>
      <c r="AG106" s="382">
        <f>SUM(AG107:AG109)</f>
        <v>0</v>
      </c>
      <c r="AH106" s="382">
        <f>SUM(AH107:AH109)</f>
        <v>0</v>
      </c>
      <c r="AI106" s="382">
        <f>SUM(AI107:AI109)</f>
        <v>0</v>
      </c>
    </row>
    <row r="107" spans="2:35" ht="15" customHeight="1" hidden="1">
      <c r="B107" s="391"/>
      <c r="C107" s="391"/>
      <c r="D107" s="386"/>
      <c r="E107" s="387"/>
      <c r="F107" s="387"/>
      <c r="G107" s="391"/>
      <c r="H107" s="389"/>
      <c r="I107" s="389"/>
      <c r="J107" s="389"/>
      <c r="K107" s="389"/>
      <c r="L107" s="389"/>
      <c r="M107" s="389"/>
      <c r="N107" s="389"/>
      <c r="O107" s="389"/>
      <c r="P107" s="389"/>
      <c r="Q107" s="389"/>
      <c r="R107" s="389"/>
      <c r="S107" s="389"/>
      <c r="T107" s="389"/>
      <c r="U107" s="389"/>
      <c r="V107" s="389"/>
      <c r="W107" s="389"/>
      <c r="X107" s="389"/>
      <c r="Y107" s="389"/>
      <c r="Z107" s="389">
        <f t="shared" si="18"/>
        <v>0</v>
      </c>
      <c r="AA107" s="389"/>
      <c r="AB107" s="389"/>
      <c r="AC107" s="389"/>
      <c r="AD107" s="389"/>
      <c r="AE107" s="389"/>
      <c r="AF107" s="389">
        <f t="shared" si="8"/>
        <v>0</v>
      </c>
      <c r="AG107" s="389"/>
      <c r="AH107" s="389"/>
      <c r="AI107" s="389"/>
    </row>
    <row r="108" spans="2:35" ht="15" customHeight="1" hidden="1">
      <c r="B108" s="391"/>
      <c r="C108" s="391"/>
      <c r="D108" s="386"/>
      <c r="E108" s="387"/>
      <c r="F108" s="387"/>
      <c r="G108" s="391"/>
      <c r="H108" s="389"/>
      <c r="I108" s="389"/>
      <c r="J108" s="389"/>
      <c r="K108" s="389"/>
      <c r="L108" s="389"/>
      <c r="M108" s="389"/>
      <c r="N108" s="389"/>
      <c r="O108" s="389"/>
      <c r="P108" s="389"/>
      <c r="Q108" s="389"/>
      <c r="R108" s="389"/>
      <c r="S108" s="389"/>
      <c r="T108" s="389"/>
      <c r="U108" s="389"/>
      <c r="V108" s="389"/>
      <c r="W108" s="389"/>
      <c r="X108" s="389"/>
      <c r="Y108" s="389"/>
      <c r="Z108" s="389">
        <f t="shared" si="18"/>
        <v>0</v>
      </c>
      <c r="AA108" s="389"/>
      <c r="AB108" s="389"/>
      <c r="AC108" s="389"/>
      <c r="AD108" s="389"/>
      <c r="AE108" s="389"/>
      <c r="AF108" s="389">
        <f t="shared" si="8"/>
        <v>0</v>
      </c>
      <c r="AG108" s="389"/>
      <c r="AH108" s="389"/>
      <c r="AI108" s="389"/>
    </row>
    <row r="109" spans="2:35" ht="15" customHeight="1" hidden="1">
      <c r="B109" s="391"/>
      <c r="C109" s="391"/>
      <c r="D109" s="386"/>
      <c r="E109" s="387"/>
      <c r="F109" s="387"/>
      <c r="G109" s="391"/>
      <c r="H109" s="389"/>
      <c r="I109" s="389"/>
      <c r="J109" s="389"/>
      <c r="K109" s="389"/>
      <c r="L109" s="389"/>
      <c r="M109" s="389"/>
      <c r="N109" s="389"/>
      <c r="O109" s="389"/>
      <c r="P109" s="389"/>
      <c r="Q109" s="389"/>
      <c r="R109" s="389"/>
      <c r="S109" s="389"/>
      <c r="T109" s="389"/>
      <c r="U109" s="389"/>
      <c r="V109" s="389"/>
      <c r="W109" s="389"/>
      <c r="X109" s="389"/>
      <c r="Y109" s="389"/>
      <c r="Z109" s="389">
        <f t="shared" si="18"/>
        <v>0</v>
      </c>
      <c r="AA109" s="389"/>
      <c r="AB109" s="389"/>
      <c r="AC109" s="389"/>
      <c r="AD109" s="389"/>
      <c r="AE109" s="389"/>
      <c r="AF109" s="389">
        <f t="shared" si="8"/>
        <v>0</v>
      </c>
      <c r="AG109" s="389"/>
      <c r="AH109" s="389"/>
      <c r="AI109" s="389"/>
    </row>
    <row r="110" spans="2:35" ht="15" customHeight="1" hidden="1">
      <c r="B110" s="383"/>
      <c r="C110" s="383">
        <f>'[1]GASTOS MATRIZ'!B104</f>
        <v>330</v>
      </c>
      <c r="D110" s="381"/>
      <c r="E110" s="390"/>
      <c r="F110" s="390"/>
      <c r="G110" s="383" t="str">
        <f>'[1]GASTOS MATRIZ'!F104</f>
        <v>Productos de Papel, Cartón e Impresos</v>
      </c>
      <c r="H110" s="382">
        <f aca="true" t="shared" si="25" ref="H110:M110">SUM(H111:H115)</f>
        <v>0</v>
      </c>
      <c r="I110" s="382">
        <f t="shared" si="25"/>
        <v>0</v>
      </c>
      <c r="J110" s="382">
        <f t="shared" si="25"/>
        <v>0</v>
      </c>
      <c r="K110" s="382">
        <f t="shared" si="25"/>
        <v>0</v>
      </c>
      <c r="L110" s="382">
        <f t="shared" si="25"/>
        <v>0</v>
      </c>
      <c r="M110" s="382">
        <f t="shared" si="25"/>
        <v>0</v>
      </c>
      <c r="N110" s="382"/>
      <c r="O110" s="382">
        <f>SUM(E110:J110)</f>
        <v>0</v>
      </c>
      <c r="P110" s="382"/>
      <c r="Q110" s="382"/>
      <c r="R110" s="382"/>
      <c r="S110" s="382"/>
      <c r="T110" s="382">
        <f>SUM(K110:P110)</f>
        <v>0</v>
      </c>
      <c r="U110" s="382">
        <f>SUM(U111:U115)</f>
        <v>0</v>
      </c>
      <c r="V110" s="382">
        <f>SUM(V111:V115)</f>
        <v>0</v>
      </c>
      <c r="W110" s="382">
        <f>SUM(W111:W115)</f>
        <v>0</v>
      </c>
      <c r="X110" s="382">
        <f>SUM(X111:X115)</f>
        <v>0</v>
      </c>
      <c r="Y110" s="382">
        <f>SUM(U110:X110)</f>
        <v>0</v>
      </c>
      <c r="Z110" s="382">
        <f t="shared" si="18"/>
        <v>0</v>
      </c>
      <c r="AA110" s="382">
        <f>SUM(AA111:AA115)</f>
        <v>0</v>
      </c>
      <c r="AB110" s="382">
        <f>SUM(AB111:AB115)</f>
        <v>0</v>
      </c>
      <c r="AC110" s="382">
        <f>SUM(AC111:AC115)</f>
        <v>0</v>
      </c>
      <c r="AD110" s="382">
        <f>SUM(AD111:AD115)</f>
        <v>0</v>
      </c>
      <c r="AE110" s="382">
        <f>SUM(AA110:AD110)</f>
        <v>0</v>
      </c>
      <c r="AF110" s="382">
        <f t="shared" si="8"/>
        <v>0</v>
      </c>
      <c r="AG110" s="382">
        <f>SUM(AG111:AG115)</f>
        <v>0</v>
      </c>
      <c r="AH110" s="382">
        <f>SUM(AH111:AH115)</f>
        <v>0</v>
      </c>
      <c r="AI110" s="382">
        <f>SUM(AI111:AI115)</f>
        <v>0</v>
      </c>
    </row>
    <row r="111" spans="2:35" ht="15" customHeight="1" hidden="1">
      <c r="B111" s="391"/>
      <c r="C111" s="391"/>
      <c r="D111" s="386">
        <f>'[1]GASTOS MATRIZ'!C105</f>
        <v>330</v>
      </c>
      <c r="E111" s="387" t="str">
        <f>'[1]GASTOS MATRIZ'!D105</f>
        <v>30</v>
      </c>
      <c r="F111" s="387" t="str">
        <f>'[1]GASTOS MATRIZ'!E105</f>
        <v>011</v>
      </c>
      <c r="G111" s="391" t="str">
        <f>'[1]GASTOS MATRIZ'!F105</f>
        <v>Productos de Papel, Cartón e Impresos</v>
      </c>
      <c r="H111" s="389">
        <f>'[1]GASTOS MATRIZ'!G105</f>
        <v>0</v>
      </c>
      <c r="I111" s="389">
        <f>'[1]GASTOS MATRIZ'!H105</f>
        <v>0</v>
      </c>
      <c r="J111" s="389">
        <f>H111+I111</f>
        <v>0</v>
      </c>
      <c r="K111" s="389">
        <f>'[1]RESU X MES'!H96</f>
        <v>0</v>
      </c>
      <c r="L111" s="389">
        <f>'[1]RESU X MES'!H354</f>
        <v>0</v>
      </c>
      <c r="M111" s="389">
        <f>'[1]RESU X MES'!H613</f>
        <v>0</v>
      </c>
      <c r="N111" s="389"/>
      <c r="O111" s="389">
        <f>SUM(E111:J111)</f>
        <v>0</v>
      </c>
      <c r="P111" s="389"/>
      <c r="Q111" s="389"/>
      <c r="R111" s="389"/>
      <c r="S111" s="389"/>
      <c r="T111" s="389">
        <f>SUM(K111:P111)</f>
        <v>0</v>
      </c>
      <c r="U111" s="389">
        <f>'[1]RESU X MES'!H1137</f>
        <v>0</v>
      </c>
      <c r="V111" s="389">
        <f>'[1]RESU X MES'!H1399</f>
        <v>0</v>
      </c>
      <c r="W111" s="389">
        <f>'[1]RESU X MES'!H1662</f>
        <v>0</v>
      </c>
      <c r="X111" s="389">
        <f>'[1]RESU X MES'!H1923</f>
        <v>0</v>
      </c>
      <c r="Y111" s="389">
        <f>SUM(U111:X111)</f>
        <v>0</v>
      </c>
      <c r="Z111" s="389">
        <f t="shared" si="18"/>
        <v>0</v>
      </c>
      <c r="AA111" s="389">
        <f>'[1]RESU X MES'!H2182</f>
        <v>0</v>
      </c>
      <c r="AB111" s="389">
        <f>'[1]RESU X MES'!H2444</f>
        <v>0</v>
      </c>
      <c r="AC111" s="389">
        <f>'[1]RESU X MES'!H2706</f>
        <v>0</v>
      </c>
      <c r="AD111" s="389">
        <f>'[1]RESU X MES'!H2969</f>
        <v>0</v>
      </c>
      <c r="AE111" s="389">
        <f>SUM(AA111:AD111)</f>
        <v>0</v>
      </c>
      <c r="AF111" s="389">
        <f aca="true" t="shared" si="26" ref="AF111:AF174">+O111+P111+Q111+R111+S111</f>
        <v>0</v>
      </c>
      <c r="AG111" s="389">
        <f>J111-AF111</f>
        <v>0</v>
      </c>
      <c r="AH111" s="389">
        <f>AF111-AI111</f>
        <v>0</v>
      </c>
      <c r="AI111" s="389">
        <f>'[1]RESU X MES'!N96+'[1]RESU X MES'!N354+'[1]RESU X MES'!N613+'[1]RESU X MES'!N876+'[1]RESU X MES'!N1137+'[1]RESU X MES'!N1399+'[1]RESU X MES'!N1662+'[1]RESU X MES'!N1923+'[1]RESU X MES'!N2182+'[1]RESU X MES'!N2444+'[1]RESU X MES'!N2706+'[1]RESU X MES'!N2969</f>
        <v>0</v>
      </c>
    </row>
    <row r="112" spans="2:35" ht="15" customHeight="1" hidden="1">
      <c r="B112" s="391"/>
      <c r="C112" s="391"/>
      <c r="D112" s="386"/>
      <c r="E112" s="387"/>
      <c r="F112" s="387"/>
      <c r="G112" s="391"/>
      <c r="H112" s="389"/>
      <c r="I112" s="389"/>
      <c r="J112" s="389"/>
      <c r="K112" s="389"/>
      <c r="L112" s="389"/>
      <c r="M112" s="389"/>
      <c r="N112" s="389"/>
      <c r="O112" s="389"/>
      <c r="P112" s="389"/>
      <c r="Q112" s="389"/>
      <c r="R112" s="389"/>
      <c r="S112" s="389"/>
      <c r="T112" s="389"/>
      <c r="U112" s="389"/>
      <c r="V112" s="389"/>
      <c r="W112" s="389"/>
      <c r="X112" s="389"/>
      <c r="Y112" s="389"/>
      <c r="Z112" s="389">
        <f t="shared" si="18"/>
        <v>0</v>
      </c>
      <c r="AA112" s="389"/>
      <c r="AB112" s="389"/>
      <c r="AC112" s="389"/>
      <c r="AD112" s="389"/>
      <c r="AE112" s="389"/>
      <c r="AF112" s="389">
        <f t="shared" si="26"/>
        <v>0</v>
      </c>
      <c r="AG112" s="389"/>
      <c r="AH112" s="389"/>
      <c r="AI112" s="389"/>
    </row>
    <row r="113" spans="2:35" ht="15" customHeight="1" hidden="1">
      <c r="B113" s="391"/>
      <c r="C113" s="391"/>
      <c r="D113" s="386"/>
      <c r="E113" s="387"/>
      <c r="F113" s="387"/>
      <c r="G113" s="391"/>
      <c r="H113" s="389"/>
      <c r="I113" s="389"/>
      <c r="J113" s="389"/>
      <c r="K113" s="389"/>
      <c r="L113" s="389"/>
      <c r="M113" s="389"/>
      <c r="N113" s="389"/>
      <c r="O113" s="389"/>
      <c r="P113" s="389"/>
      <c r="Q113" s="389"/>
      <c r="R113" s="389"/>
      <c r="S113" s="389"/>
      <c r="T113" s="389"/>
      <c r="U113" s="389"/>
      <c r="V113" s="389"/>
      <c r="W113" s="389"/>
      <c r="X113" s="389"/>
      <c r="Y113" s="389"/>
      <c r="Z113" s="389">
        <f t="shared" si="18"/>
        <v>0</v>
      </c>
      <c r="AA113" s="389"/>
      <c r="AB113" s="389"/>
      <c r="AC113" s="389"/>
      <c r="AD113" s="389"/>
      <c r="AE113" s="389"/>
      <c r="AF113" s="389">
        <f t="shared" si="26"/>
        <v>0</v>
      </c>
      <c r="AG113" s="389"/>
      <c r="AH113" s="389"/>
      <c r="AI113" s="389"/>
    </row>
    <row r="114" spans="2:35" ht="15" customHeight="1" hidden="1">
      <c r="B114" s="391"/>
      <c r="C114" s="391"/>
      <c r="D114" s="386"/>
      <c r="E114" s="387"/>
      <c r="F114" s="387"/>
      <c r="G114" s="391"/>
      <c r="H114" s="389"/>
      <c r="I114" s="389"/>
      <c r="J114" s="389"/>
      <c r="K114" s="389"/>
      <c r="L114" s="389"/>
      <c r="M114" s="389"/>
      <c r="N114" s="389"/>
      <c r="O114" s="389"/>
      <c r="P114" s="389"/>
      <c r="Q114" s="389"/>
      <c r="R114" s="389"/>
      <c r="S114" s="389"/>
      <c r="T114" s="389"/>
      <c r="U114" s="389"/>
      <c r="V114" s="389"/>
      <c r="W114" s="389"/>
      <c r="X114" s="389"/>
      <c r="Y114" s="389"/>
      <c r="Z114" s="389">
        <f t="shared" si="18"/>
        <v>0</v>
      </c>
      <c r="AA114" s="389"/>
      <c r="AB114" s="389"/>
      <c r="AC114" s="389"/>
      <c r="AD114" s="389"/>
      <c r="AE114" s="389"/>
      <c r="AF114" s="389">
        <f t="shared" si="26"/>
        <v>0</v>
      </c>
      <c r="AG114" s="389"/>
      <c r="AH114" s="389"/>
      <c r="AI114" s="389"/>
    </row>
    <row r="115" spans="2:35" ht="15" customHeight="1" hidden="1">
      <c r="B115" s="391"/>
      <c r="C115" s="391"/>
      <c r="D115" s="386"/>
      <c r="E115" s="387"/>
      <c r="F115" s="387"/>
      <c r="G115" s="391"/>
      <c r="H115" s="389"/>
      <c r="I115" s="389"/>
      <c r="J115" s="389"/>
      <c r="K115" s="389"/>
      <c r="L115" s="389"/>
      <c r="M115" s="389"/>
      <c r="N115" s="389"/>
      <c r="O115" s="389"/>
      <c r="P115" s="389"/>
      <c r="Q115" s="389"/>
      <c r="R115" s="389"/>
      <c r="S115" s="389"/>
      <c r="T115" s="389"/>
      <c r="U115" s="389"/>
      <c r="V115" s="389"/>
      <c r="W115" s="389"/>
      <c r="X115" s="389"/>
      <c r="Y115" s="389"/>
      <c r="Z115" s="389">
        <f t="shared" si="18"/>
        <v>0</v>
      </c>
      <c r="AA115" s="389"/>
      <c r="AB115" s="389"/>
      <c r="AC115" s="389"/>
      <c r="AD115" s="389"/>
      <c r="AE115" s="389"/>
      <c r="AF115" s="389">
        <f t="shared" si="26"/>
        <v>0</v>
      </c>
      <c r="AG115" s="389"/>
      <c r="AH115" s="389"/>
      <c r="AI115" s="389"/>
    </row>
    <row r="116" spans="2:35" ht="14.25">
      <c r="B116" s="383"/>
      <c r="C116" s="383">
        <f>'[1]GASTOS MATRIZ'!B110</f>
        <v>340</v>
      </c>
      <c r="D116" s="381"/>
      <c r="E116" s="390"/>
      <c r="F116" s="390"/>
      <c r="G116" s="383" t="str">
        <f>'[1]GASTOS MATRIZ'!F110</f>
        <v>Bienes de Consumo de Oficina e Insumos</v>
      </c>
      <c r="H116" s="382">
        <f aca="true" t="shared" si="27" ref="H116:M116">SUM(H117:H121)</f>
        <v>0</v>
      </c>
      <c r="I116" s="382">
        <f t="shared" si="27"/>
        <v>0</v>
      </c>
      <c r="J116" s="382">
        <f t="shared" si="27"/>
        <v>0</v>
      </c>
      <c r="K116" s="382">
        <f t="shared" si="27"/>
        <v>0</v>
      </c>
      <c r="L116" s="382">
        <f t="shared" si="27"/>
        <v>0</v>
      </c>
      <c r="M116" s="382">
        <f t="shared" si="27"/>
        <v>0</v>
      </c>
      <c r="N116" s="382">
        <v>0</v>
      </c>
      <c r="O116" s="382">
        <f>SUM(E116:J116)</f>
        <v>0</v>
      </c>
      <c r="P116" s="382">
        <v>0</v>
      </c>
      <c r="Q116" s="382">
        <v>0</v>
      </c>
      <c r="R116" s="382"/>
      <c r="S116" s="382"/>
      <c r="T116" s="382">
        <f>SUM(K116:P116)</f>
        <v>0</v>
      </c>
      <c r="U116" s="382">
        <f>SUM(U117:U121)</f>
        <v>0</v>
      </c>
      <c r="V116" s="382">
        <f>SUM(V117:V121)</f>
        <v>0</v>
      </c>
      <c r="W116" s="382">
        <f>SUM(W117:W121)</f>
        <v>0</v>
      </c>
      <c r="X116" s="382">
        <f>SUM(X117:X121)</f>
        <v>0</v>
      </c>
      <c r="Y116" s="382">
        <f>SUM(U116:X116)</f>
        <v>0</v>
      </c>
      <c r="Z116" s="382">
        <f t="shared" si="18"/>
        <v>0</v>
      </c>
      <c r="AA116" s="382">
        <f>SUM(AA117:AA121)</f>
        <v>0</v>
      </c>
      <c r="AB116" s="382">
        <f>SUM(AB117:AB121)</f>
        <v>0</v>
      </c>
      <c r="AC116" s="382">
        <f>SUM(AC117:AC121)</f>
        <v>0</v>
      </c>
      <c r="AD116" s="382">
        <f>SUM(AD117:AD121)</f>
        <v>0</v>
      </c>
      <c r="AE116" s="382">
        <f>SUM(AA116:AD116)</f>
        <v>0</v>
      </c>
      <c r="AF116" s="382">
        <f t="shared" si="26"/>
        <v>0</v>
      </c>
      <c r="AG116" s="382">
        <f>SUM(AG117:AG121)</f>
        <v>0</v>
      </c>
      <c r="AH116" s="382">
        <f>SUM(AH117:AH121)</f>
        <v>0</v>
      </c>
      <c r="AI116" s="382">
        <f>SUM(AI117:AI121)</f>
        <v>0</v>
      </c>
    </row>
    <row r="117" spans="2:35" ht="14.25">
      <c r="B117" s="391"/>
      <c r="C117" s="391"/>
      <c r="D117" s="386">
        <f>'[1]GASTOS MATRIZ'!C111</f>
        <v>340</v>
      </c>
      <c r="E117" s="387" t="str">
        <f>'[1]GASTOS MATRIZ'!D111</f>
        <v>30</v>
      </c>
      <c r="F117" s="387" t="str">
        <f>'[1]GASTOS MATRIZ'!E111</f>
        <v>011</v>
      </c>
      <c r="G117" s="391" t="str">
        <f>'[1]GASTOS MATRIZ'!F111</f>
        <v>Bienes de Consumo de Oficina e Insumos</v>
      </c>
      <c r="H117" s="389">
        <f>'[1]GASTOS MATRIZ'!G111</f>
        <v>0</v>
      </c>
      <c r="I117" s="389">
        <f>'[1]GASTOS MATRIZ'!H111</f>
        <v>0</v>
      </c>
      <c r="J117" s="389">
        <f>H117+I117</f>
        <v>0</v>
      </c>
      <c r="K117" s="389">
        <f>'[1]RESU X MES'!H102</f>
        <v>0</v>
      </c>
      <c r="L117" s="389">
        <f>'[1]RESU X MES'!H360</f>
        <v>0</v>
      </c>
      <c r="M117" s="389">
        <f>'[1]RESU X MES'!H619</f>
        <v>0</v>
      </c>
      <c r="N117" s="389">
        <v>0</v>
      </c>
      <c r="O117" s="389">
        <f>SUM(E117:J117)</f>
        <v>0</v>
      </c>
      <c r="P117" s="389">
        <v>0</v>
      </c>
      <c r="Q117" s="389">
        <v>0</v>
      </c>
      <c r="R117" s="389"/>
      <c r="S117" s="389"/>
      <c r="T117" s="389">
        <f>SUM(K117:P117)</f>
        <v>0</v>
      </c>
      <c r="U117" s="389">
        <f>'[1]RESU X MES'!H1143</f>
        <v>0</v>
      </c>
      <c r="V117" s="389">
        <f>'[1]RESU X MES'!H1405</f>
        <v>0</v>
      </c>
      <c r="W117" s="389">
        <f>'[1]RESU X MES'!H1668</f>
        <v>0</v>
      </c>
      <c r="X117" s="389">
        <f>'[1]RESU X MES'!H1929</f>
        <v>0</v>
      </c>
      <c r="Y117" s="389">
        <f>SUM(U117:X117)</f>
        <v>0</v>
      </c>
      <c r="Z117" s="389">
        <f t="shared" si="18"/>
        <v>0</v>
      </c>
      <c r="AA117" s="389">
        <f>'[1]RESU X MES'!H2188</f>
        <v>0</v>
      </c>
      <c r="AB117" s="389">
        <f>'[1]RESU X MES'!H2450</f>
        <v>0</v>
      </c>
      <c r="AC117" s="389">
        <f>'[1]RESU X MES'!H2712</f>
        <v>0</v>
      </c>
      <c r="AD117" s="389">
        <f>'[1]RESU X MES'!H2975</f>
        <v>0</v>
      </c>
      <c r="AE117" s="389">
        <f>SUM(AA117:AD117)</f>
        <v>0</v>
      </c>
      <c r="AF117" s="389">
        <f t="shared" si="26"/>
        <v>0</v>
      </c>
      <c r="AG117" s="389">
        <f>J117-AF117</f>
        <v>0</v>
      </c>
      <c r="AH117" s="389">
        <f>AF117-AI117</f>
        <v>0</v>
      </c>
      <c r="AI117" s="389">
        <f>'[1]RESU X MES'!N102+'[1]RESU X MES'!N360+'[1]RESU X MES'!N619+'[1]RESU X MES'!N882+'[1]RESU X MES'!N1143+'[1]RESU X MES'!N1405+'[1]RESU X MES'!N1668+'[1]RESU X MES'!N1929+'[1]RESU X MES'!N2188+'[1]RESU X MES'!N2450+'[1]RESU X MES'!N2712+'[1]RESU X MES'!N2975</f>
        <v>0</v>
      </c>
    </row>
    <row r="118" spans="2:35" ht="15" customHeight="1" hidden="1">
      <c r="B118" s="391"/>
      <c r="C118" s="391"/>
      <c r="D118" s="386"/>
      <c r="E118" s="387"/>
      <c r="F118" s="387"/>
      <c r="G118" s="391"/>
      <c r="H118" s="389"/>
      <c r="I118" s="389"/>
      <c r="J118" s="389"/>
      <c r="K118" s="389"/>
      <c r="L118" s="389"/>
      <c r="M118" s="389"/>
      <c r="N118" s="389"/>
      <c r="O118" s="389"/>
      <c r="P118" s="389"/>
      <c r="Q118" s="389"/>
      <c r="R118" s="389"/>
      <c r="S118" s="389"/>
      <c r="T118" s="389"/>
      <c r="U118" s="389"/>
      <c r="V118" s="389"/>
      <c r="W118" s="389"/>
      <c r="X118" s="389"/>
      <c r="Y118" s="389"/>
      <c r="Z118" s="389">
        <f t="shared" si="18"/>
        <v>0</v>
      </c>
      <c r="AA118" s="389"/>
      <c r="AB118" s="389"/>
      <c r="AC118" s="389"/>
      <c r="AD118" s="389"/>
      <c r="AE118" s="389"/>
      <c r="AF118" s="389">
        <f t="shared" si="26"/>
        <v>0</v>
      </c>
      <c r="AG118" s="389"/>
      <c r="AH118" s="389"/>
      <c r="AI118" s="389"/>
    </row>
    <row r="119" spans="2:35" ht="15" customHeight="1" hidden="1">
      <c r="B119" s="391"/>
      <c r="C119" s="391"/>
      <c r="D119" s="386"/>
      <c r="E119" s="387"/>
      <c r="F119" s="387"/>
      <c r="G119" s="391"/>
      <c r="H119" s="389"/>
      <c r="I119" s="389"/>
      <c r="J119" s="389"/>
      <c r="K119" s="389"/>
      <c r="L119" s="389"/>
      <c r="M119" s="389"/>
      <c r="N119" s="389"/>
      <c r="O119" s="389"/>
      <c r="P119" s="389"/>
      <c r="Q119" s="389"/>
      <c r="R119" s="389"/>
      <c r="S119" s="389"/>
      <c r="T119" s="389"/>
      <c r="U119" s="389"/>
      <c r="V119" s="389"/>
      <c r="W119" s="389"/>
      <c r="X119" s="389"/>
      <c r="Y119" s="389"/>
      <c r="Z119" s="389">
        <f t="shared" si="18"/>
        <v>0</v>
      </c>
      <c r="AA119" s="389"/>
      <c r="AB119" s="389"/>
      <c r="AC119" s="389"/>
      <c r="AD119" s="389"/>
      <c r="AE119" s="389"/>
      <c r="AF119" s="389">
        <f t="shared" si="26"/>
        <v>0</v>
      </c>
      <c r="AG119" s="389"/>
      <c r="AH119" s="389"/>
      <c r="AI119" s="389"/>
    </row>
    <row r="120" spans="2:35" ht="15" customHeight="1" hidden="1">
      <c r="B120" s="391"/>
      <c r="C120" s="391"/>
      <c r="D120" s="386"/>
      <c r="E120" s="387"/>
      <c r="F120" s="387"/>
      <c r="G120" s="391"/>
      <c r="H120" s="389"/>
      <c r="I120" s="389"/>
      <c r="J120" s="389"/>
      <c r="K120" s="389"/>
      <c r="L120" s="389"/>
      <c r="M120" s="389"/>
      <c r="N120" s="389"/>
      <c r="O120" s="389"/>
      <c r="P120" s="389"/>
      <c r="Q120" s="389"/>
      <c r="R120" s="389"/>
      <c r="S120" s="389"/>
      <c r="T120" s="389"/>
      <c r="U120" s="389"/>
      <c r="V120" s="389"/>
      <c r="W120" s="389"/>
      <c r="X120" s="389"/>
      <c r="Y120" s="389"/>
      <c r="Z120" s="389">
        <f t="shared" si="18"/>
        <v>0</v>
      </c>
      <c r="AA120" s="389"/>
      <c r="AB120" s="389"/>
      <c r="AC120" s="389"/>
      <c r="AD120" s="389"/>
      <c r="AE120" s="389"/>
      <c r="AF120" s="389">
        <f t="shared" si="26"/>
        <v>0</v>
      </c>
      <c r="AG120" s="389"/>
      <c r="AH120" s="389"/>
      <c r="AI120" s="389"/>
    </row>
    <row r="121" spans="2:35" ht="15" customHeight="1" hidden="1">
      <c r="B121" s="391"/>
      <c r="C121" s="391"/>
      <c r="D121" s="386"/>
      <c r="E121" s="387"/>
      <c r="F121" s="387"/>
      <c r="G121" s="391"/>
      <c r="H121" s="389"/>
      <c r="I121" s="389"/>
      <c r="J121" s="389"/>
      <c r="K121" s="389"/>
      <c r="L121" s="389"/>
      <c r="M121" s="389"/>
      <c r="N121" s="389"/>
      <c r="O121" s="389"/>
      <c r="P121" s="389"/>
      <c r="Q121" s="389"/>
      <c r="R121" s="389"/>
      <c r="S121" s="389"/>
      <c r="T121" s="389"/>
      <c r="U121" s="389"/>
      <c r="V121" s="389"/>
      <c r="W121" s="389"/>
      <c r="X121" s="389"/>
      <c r="Y121" s="389"/>
      <c r="Z121" s="389">
        <f t="shared" si="18"/>
        <v>0</v>
      </c>
      <c r="AA121" s="389"/>
      <c r="AB121" s="389"/>
      <c r="AC121" s="389"/>
      <c r="AD121" s="389"/>
      <c r="AE121" s="389"/>
      <c r="AF121" s="389">
        <f t="shared" si="26"/>
        <v>0</v>
      </c>
      <c r="AG121" s="389"/>
      <c r="AH121" s="389"/>
      <c r="AI121" s="389"/>
    </row>
    <row r="122" spans="2:35" ht="15" customHeight="1" hidden="1">
      <c r="B122" s="383"/>
      <c r="C122" s="383">
        <f>'[1]GASTOS MATRIZ'!B116</f>
        <v>350</v>
      </c>
      <c r="D122" s="381"/>
      <c r="E122" s="390"/>
      <c r="F122" s="390"/>
      <c r="G122" s="383" t="str">
        <f>'[1]GASTOS MATRIZ'!F116</f>
        <v>Productos e Instrumentales Químic. y Medicinales</v>
      </c>
      <c r="H122" s="382">
        <f aca="true" t="shared" si="28" ref="H122:M122">SUM(H123:H125)</f>
        <v>0</v>
      </c>
      <c r="I122" s="382">
        <f t="shared" si="28"/>
        <v>0</v>
      </c>
      <c r="J122" s="382">
        <f t="shared" si="28"/>
        <v>0</v>
      </c>
      <c r="K122" s="382">
        <f t="shared" si="28"/>
        <v>0</v>
      </c>
      <c r="L122" s="382">
        <f t="shared" si="28"/>
        <v>0</v>
      </c>
      <c r="M122" s="382">
        <f t="shared" si="28"/>
        <v>0</v>
      </c>
      <c r="N122" s="382"/>
      <c r="O122" s="382">
        <f>SUM(E122:J122)</f>
        <v>0</v>
      </c>
      <c r="P122" s="382"/>
      <c r="Q122" s="382"/>
      <c r="R122" s="382"/>
      <c r="S122" s="382"/>
      <c r="T122" s="382">
        <f>SUM(K122:P122)</f>
        <v>0</v>
      </c>
      <c r="U122" s="382">
        <f>SUM(U123:U125)</f>
        <v>0</v>
      </c>
      <c r="V122" s="382">
        <f>SUM(V123:V125)</f>
        <v>0</v>
      </c>
      <c r="W122" s="382">
        <f>SUM(W123:W125)</f>
        <v>0</v>
      </c>
      <c r="X122" s="382">
        <f>SUM(X123:X125)</f>
        <v>0</v>
      </c>
      <c r="Y122" s="382">
        <f>SUM(U122:X122)</f>
        <v>0</v>
      </c>
      <c r="Z122" s="382">
        <f t="shared" si="18"/>
        <v>0</v>
      </c>
      <c r="AA122" s="382">
        <f>SUM(AA123:AA125)</f>
        <v>0</v>
      </c>
      <c r="AB122" s="382">
        <f>SUM(AB123:AB125)</f>
        <v>0</v>
      </c>
      <c r="AC122" s="382">
        <f>SUM(AC123:AC125)</f>
        <v>0</v>
      </c>
      <c r="AD122" s="382">
        <f>SUM(AD123:AD125)</f>
        <v>0</v>
      </c>
      <c r="AE122" s="382">
        <f>SUM(AA122:AD122)</f>
        <v>0</v>
      </c>
      <c r="AF122" s="382">
        <f t="shared" si="26"/>
        <v>0</v>
      </c>
      <c r="AG122" s="382">
        <f>SUM(AG123:AG125)</f>
        <v>0</v>
      </c>
      <c r="AH122" s="382">
        <f>SUM(AH123:AH125)</f>
        <v>0</v>
      </c>
      <c r="AI122" s="382">
        <f>SUM(AI123:AI125)</f>
        <v>0</v>
      </c>
    </row>
    <row r="123" spans="2:35" ht="15" customHeight="1" hidden="1">
      <c r="B123" s="391"/>
      <c r="C123" s="391"/>
      <c r="D123" s="386"/>
      <c r="E123" s="387"/>
      <c r="F123" s="387"/>
      <c r="G123" s="391"/>
      <c r="H123" s="389"/>
      <c r="I123" s="389"/>
      <c r="J123" s="389"/>
      <c r="K123" s="389"/>
      <c r="L123" s="389"/>
      <c r="M123" s="389"/>
      <c r="N123" s="389"/>
      <c r="O123" s="389"/>
      <c r="P123" s="389"/>
      <c r="Q123" s="389"/>
      <c r="R123" s="389"/>
      <c r="S123" s="389"/>
      <c r="T123" s="389"/>
      <c r="U123" s="389"/>
      <c r="V123" s="389"/>
      <c r="W123" s="389"/>
      <c r="X123" s="389"/>
      <c r="Y123" s="389"/>
      <c r="Z123" s="389">
        <f t="shared" si="18"/>
        <v>0</v>
      </c>
      <c r="AA123" s="389"/>
      <c r="AB123" s="389"/>
      <c r="AC123" s="389"/>
      <c r="AD123" s="389"/>
      <c r="AE123" s="389"/>
      <c r="AF123" s="389">
        <f t="shared" si="26"/>
        <v>0</v>
      </c>
      <c r="AG123" s="389"/>
      <c r="AH123" s="389"/>
      <c r="AI123" s="389"/>
    </row>
    <row r="124" spans="2:35" ht="15" customHeight="1" hidden="1">
      <c r="B124" s="391"/>
      <c r="C124" s="391"/>
      <c r="D124" s="386"/>
      <c r="E124" s="387"/>
      <c r="F124" s="387"/>
      <c r="G124" s="391"/>
      <c r="H124" s="389"/>
      <c r="I124" s="389"/>
      <c r="J124" s="389"/>
      <c r="K124" s="389"/>
      <c r="L124" s="389"/>
      <c r="M124" s="389"/>
      <c r="N124" s="389"/>
      <c r="O124" s="389"/>
      <c r="P124" s="389"/>
      <c r="Q124" s="389"/>
      <c r="R124" s="389"/>
      <c r="S124" s="389"/>
      <c r="T124" s="389"/>
      <c r="U124" s="389"/>
      <c r="V124" s="389"/>
      <c r="W124" s="389"/>
      <c r="X124" s="389"/>
      <c r="Y124" s="389"/>
      <c r="Z124" s="389">
        <f t="shared" si="18"/>
        <v>0</v>
      </c>
      <c r="AA124" s="389"/>
      <c r="AB124" s="389"/>
      <c r="AC124" s="389"/>
      <c r="AD124" s="389"/>
      <c r="AE124" s="389"/>
      <c r="AF124" s="389">
        <f t="shared" si="26"/>
        <v>0</v>
      </c>
      <c r="AG124" s="389"/>
      <c r="AH124" s="389"/>
      <c r="AI124" s="389"/>
    </row>
    <row r="125" spans="2:35" ht="9" customHeight="1">
      <c r="B125" s="391"/>
      <c r="C125" s="391"/>
      <c r="D125" s="386"/>
      <c r="E125" s="387"/>
      <c r="F125" s="387"/>
      <c r="G125" s="391"/>
      <c r="H125" s="389"/>
      <c r="I125" s="389"/>
      <c r="J125" s="389"/>
      <c r="K125" s="389"/>
      <c r="L125" s="389"/>
      <c r="M125" s="389"/>
      <c r="N125" s="389"/>
      <c r="O125" s="389"/>
      <c r="P125" s="389"/>
      <c r="Q125" s="389"/>
      <c r="R125" s="389"/>
      <c r="S125" s="389"/>
      <c r="T125" s="389"/>
      <c r="U125" s="389"/>
      <c r="V125" s="389"/>
      <c r="W125" s="389"/>
      <c r="X125" s="389"/>
      <c r="Y125" s="389"/>
      <c r="Z125" s="389">
        <f t="shared" si="18"/>
        <v>0</v>
      </c>
      <c r="AA125" s="389"/>
      <c r="AB125" s="389"/>
      <c r="AC125" s="389"/>
      <c r="AD125" s="389"/>
      <c r="AE125" s="389"/>
      <c r="AF125" s="389">
        <f t="shared" si="26"/>
        <v>0</v>
      </c>
      <c r="AG125" s="389"/>
      <c r="AH125" s="389"/>
      <c r="AI125" s="389"/>
    </row>
    <row r="126" spans="2:35" ht="14.25">
      <c r="B126" s="383"/>
      <c r="C126" s="383">
        <f>'[1]GASTOS MATRIZ'!B120</f>
        <v>360</v>
      </c>
      <c r="D126" s="381"/>
      <c r="E126" s="390"/>
      <c r="F126" s="390"/>
      <c r="G126" s="383" t="str">
        <f>'[1]GASTOS MATRIZ'!F120</f>
        <v>Combustibles y Lubricantes</v>
      </c>
      <c r="H126" s="382">
        <f aca="true" t="shared" si="29" ref="H126:AI126">SUM(H127:H131)</f>
        <v>132054906</v>
      </c>
      <c r="I126" s="382">
        <f t="shared" si="29"/>
        <v>-68209856</v>
      </c>
      <c r="J126" s="382">
        <f t="shared" si="29"/>
        <v>63845050</v>
      </c>
      <c r="K126" s="382">
        <f t="shared" si="29"/>
        <v>0</v>
      </c>
      <c r="L126" s="382">
        <f t="shared" si="29"/>
        <v>0</v>
      </c>
      <c r="M126" s="382">
        <f t="shared" si="29"/>
        <v>0</v>
      </c>
      <c r="N126" s="382">
        <f t="shared" si="29"/>
        <v>0</v>
      </c>
      <c r="O126" s="382">
        <f t="shared" si="29"/>
        <v>0</v>
      </c>
      <c r="P126" s="382">
        <f t="shared" si="29"/>
        <v>0</v>
      </c>
      <c r="Q126" s="382">
        <f t="shared" si="29"/>
        <v>25000000</v>
      </c>
      <c r="R126" s="382">
        <f t="shared" si="29"/>
        <v>0</v>
      </c>
      <c r="S126" s="382">
        <f t="shared" si="29"/>
        <v>30000000</v>
      </c>
      <c r="T126" s="382">
        <f t="shared" si="29"/>
        <v>0</v>
      </c>
      <c r="U126" s="382">
        <f t="shared" si="29"/>
        <v>0</v>
      </c>
      <c r="V126" s="382">
        <f t="shared" si="29"/>
        <v>0</v>
      </c>
      <c r="W126" s="382">
        <f t="shared" si="29"/>
        <v>0</v>
      </c>
      <c r="X126" s="382">
        <f t="shared" si="29"/>
        <v>0</v>
      </c>
      <c r="Y126" s="382">
        <f t="shared" si="29"/>
        <v>0</v>
      </c>
      <c r="Z126" s="382">
        <f t="shared" si="29"/>
        <v>0</v>
      </c>
      <c r="AA126" s="382">
        <f t="shared" si="29"/>
        <v>0</v>
      </c>
      <c r="AB126" s="382">
        <f t="shared" si="29"/>
        <v>0</v>
      </c>
      <c r="AC126" s="382">
        <f t="shared" si="29"/>
        <v>0</v>
      </c>
      <c r="AD126" s="382">
        <f t="shared" si="29"/>
        <v>0</v>
      </c>
      <c r="AE126" s="382">
        <f t="shared" si="29"/>
        <v>0</v>
      </c>
      <c r="AF126" s="382">
        <f t="shared" si="26"/>
        <v>55000000</v>
      </c>
      <c r="AG126" s="382">
        <f t="shared" si="29"/>
        <v>8845050</v>
      </c>
      <c r="AH126" s="382">
        <f t="shared" si="29"/>
        <v>55000000</v>
      </c>
      <c r="AI126" s="382">
        <f t="shared" si="29"/>
        <v>0</v>
      </c>
    </row>
    <row r="127" spans="2:35" ht="14.25">
      <c r="B127" s="391"/>
      <c r="C127" s="391"/>
      <c r="D127" s="386">
        <f>'[1]GASTOS MATRIZ'!C121</f>
        <v>360</v>
      </c>
      <c r="E127" s="387" t="str">
        <f>'[1]GASTOS MATRIZ'!D121</f>
        <v>30</v>
      </c>
      <c r="F127" s="387" t="str">
        <f>'[1]GASTOS MATRIZ'!E121</f>
        <v>011</v>
      </c>
      <c r="G127" s="391" t="str">
        <f>'[1]GASTOS MATRIZ'!F121</f>
        <v>Combustibles y Lubricantes</v>
      </c>
      <c r="H127" s="389">
        <f>'[1]GASTOS MATRIZ'!G121</f>
        <v>132054906</v>
      </c>
      <c r="I127" s="389">
        <v>-68209856</v>
      </c>
      <c r="J127" s="389">
        <f>H127+I127</f>
        <v>63845050</v>
      </c>
      <c r="K127" s="389">
        <f>'[1]RESU X MES'!H112</f>
        <v>0</v>
      </c>
      <c r="L127" s="389">
        <f>'[1]RESU X MES'!H370</f>
        <v>0</v>
      </c>
      <c r="M127" s="389">
        <f>'[1]RESU X MES'!H629</f>
        <v>0</v>
      </c>
      <c r="N127" s="389">
        <v>0</v>
      </c>
      <c r="O127" s="389">
        <f>+K127+L127+M127+N127</f>
        <v>0</v>
      </c>
      <c r="P127" s="389">
        <v>0</v>
      </c>
      <c r="Q127" s="389">
        <v>25000000</v>
      </c>
      <c r="R127" s="389"/>
      <c r="S127" s="389">
        <v>30000000</v>
      </c>
      <c r="T127" s="389">
        <f>SUM(K127:P127)</f>
        <v>0</v>
      </c>
      <c r="U127" s="389">
        <f>'[1]RESU X MES'!H1153</f>
        <v>0</v>
      </c>
      <c r="V127" s="389">
        <f>'[1]RESU X MES'!H1415</f>
        <v>0</v>
      </c>
      <c r="W127" s="389">
        <f>'[1]RESU X MES'!H1678</f>
        <v>0</v>
      </c>
      <c r="X127" s="389">
        <f>'[1]RESU X MES'!H1939</f>
        <v>0</v>
      </c>
      <c r="Y127" s="389">
        <f>SUM(U127:X127)</f>
        <v>0</v>
      </c>
      <c r="Z127" s="389">
        <f t="shared" si="18"/>
        <v>0</v>
      </c>
      <c r="AA127" s="389">
        <f>'[1]RESU X MES'!H2198</f>
        <v>0</v>
      </c>
      <c r="AB127" s="389">
        <f>'[1]RESU X MES'!H2460</f>
        <v>0</v>
      </c>
      <c r="AC127" s="389">
        <f>'[1]RESU X MES'!H2722</f>
        <v>0</v>
      </c>
      <c r="AD127" s="389">
        <f>'[1]RESU X MES'!H2985</f>
        <v>0</v>
      </c>
      <c r="AE127" s="389">
        <f>SUM(AA127:AD127)</f>
        <v>0</v>
      </c>
      <c r="AF127" s="389">
        <f t="shared" si="26"/>
        <v>55000000</v>
      </c>
      <c r="AG127" s="389">
        <f>J127-AF127</f>
        <v>8845050</v>
      </c>
      <c r="AH127" s="389">
        <f>AF127-AI127</f>
        <v>55000000</v>
      </c>
      <c r="AI127" s="389">
        <f>'[1]RESU X MES'!N112+'[1]RESU X MES'!N370+'[1]RESU X MES'!N629+'[1]RESU X MES'!N892+'[1]RESU X MES'!N1153+'[1]RESU X MES'!N1415+'[1]RESU X MES'!N1678+'[1]RESU X MES'!N1939+'[1]RESU X MES'!N2198+'[1]RESU X MES'!N2460+'[1]RESU X MES'!N2722+'[1]RESU X MES'!N2985</f>
        <v>0</v>
      </c>
    </row>
    <row r="128" spans="2:35" ht="15" customHeight="1" hidden="1">
      <c r="B128" s="391"/>
      <c r="C128" s="391"/>
      <c r="D128" s="386"/>
      <c r="E128" s="387"/>
      <c r="F128" s="387"/>
      <c r="G128" s="391"/>
      <c r="H128" s="389"/>
      <c r="I128" s="389"/>
      <c r="J128" s="389"/>
      <c r="K128" s="389"/>
      <c r="L128" s="389"/>
      <c r="M128" s="389"/>
      <c r="N128" s="389"/>
      <c r="O128" s="389"/>
      <c r="P128" s="389"/>
      <c r="Q128" s="389"/>
      <c r="R128" s="389"/>
      <c r="S128" s="389"/>
      <c r="T128" s="389"/>
      <c r="U128" s="389"/>
      <c r="V128" s="389"/>
      <c r="W128" s="389"/>
      <c r="X128" s="389"/>
      <c r="Y128" s="389"/>
      <c r="Z128" s="389">
        <f t="shared" si="18"/>
        <v>0</v>
      </c>
      <c r="AA128" s="389"/>
      <c r="AB128" s="389"/>
      <c r="AC128" s="389"/>
      <c r="AD128" s="389"/>
      <c r="AE128" s="389"/>
      <c r="AF128" s="389">
        <f t="shared" si="26"/>
        <v>0</v>
      </c>
      <c r="AG128" s="389"/>
      <c r="AH128" s="389"/>
      <c r="AI128" s="389"/>
    </row>
    <row r="129" spans="2:35" ht="15" customHeight="1" hidden="1">
      <c r="B129" s="391"/>
      <c r="C129" s="391"/>
      <c r="D129" s="386"/>
      <c r="E129" s="387"/>
      <c r="F129" s="387"/>
      <c r="G129" s="391"/>
      <c r="H129" s="389"/>
      <c r="I129" s="389"/>
      <c r="J129" s="389"/>
      <c r="K129" s="389"/>
      <c r="L129" s="389"/>
      <c r="M129" s="389"/>
      <c r="N129" s="389"/>
      <c r="O129" s="389"/>
      <c r="P129" s="389"/>
      <c r="Q129" s="389"/>
      <c r="R129" s="389"/>
      <c r="S129" s="389"/>
      <c r="T129" s="389"/>
      <c r="U129" s="389"/>
      <c r="V129" s="389"/>
      <c r="W129" s="389"/>
      <c r="X129" s="389"/>
      <c r="Y129" s="389"/>
      <c r="Z129" s="389">
        <f t="shared" si="18"/>
        <v>0</v>
      </c>
      <c r="AA129" s="389"/>
      <c r="AB129" s="389"/>
      <c r="AC129" s="389"/>
      <c r="AD129" s="389"/>
      <c r="AE129" s="389"/>
      <c r="AF129" s="389">
        <f t="shared" si="26"/>
        <v>0</v>
      </c>
      <c r="AG129" s="389"/>
      <c r="AH129" s="389"/>
      <c r="AI129" s="389"/>
    </row>
    <row r="130" spans="2:35" ht="15" customHeight="1" hidden="1">
      <c r="B130" s="391"/>
      <c r="C130" s="391"/>
      <c r="D130" s="386"/>
      <c r="E130" s="387"/>
      <c r="F130" s="387"/>
      <c r="G130" s="391"/>
      <c r="H130" s="389"/>
      <c r="I130" s="389"/>
      <c r="J130" s="389"/>
      <c r="K130" s="389"/>
      <c r="L130" s="389"/>
      <c r="M130" s="389"/>
      <c r="N130" s="389"/>
      <c r="O130" s="389"/>
      <c r="P130" s="389"/>
      <c r="Q130" s="389"/>
      <c r="R130" s="389"/>
      <c r="S130" s="389"/>
      <c r="T130" s="389"/>
      <c r="U130" s="389"/>
      <c r="V130" s="389"/>
      <c r="W130" s="389"/>
      <c r="X130" s="389"/>
      <c r="Y130" s="389"/>
      <c r="Z130" s="389">
        <f t="shared" si="18"/>
        <v>0</v>
      </c>
      <c r="AA130" s="389"/>
      <c r="AB130" s="389"/>
      <c r="AC130" s="389"/>
      <c r="AD130" s="389"/>
      <c r="AE130" s="389"/>
      <c r="AF130" s="389">
        <f t="shared" si="26"/>
        <v>0</v>
      </c>
      <c r="AG130" s="389"/>
      <c r="AH130" s="389"/>
      <c r="AI130" s="389"/>
    </row>
    <row r="131" spans="2:35" ht="10.5" customHeight="1">
      <c r="B131" s="391"/>
      <c r="C131" s="391"/>
      <c r="D131" s="386"/>
      <c r="E131" s="387"/>
      <c r="F131" s="387"/>
      <c r="G131" s="391"/>
      <c r="H131" s="389"/>
      <c r="I131" s="389"/>
      <c r="J131" s="389"/>
      <c r="K131" s="389"/>
      <c r="L131" s="389"/>
      <c r="M131" s="389"/>
      <c r="N131" s="389"/>
      <c r="O131" s="389"/>
      <c r="P131" s="389"/>
      <c r="Q131" s="389"/>
      <c r="R131" s="389"/>
      <c r="S131" s="389"/>
      <c r="T131" s="389"/>
      <c r="U131" s="389"/>
      <c r="V131" s="389"/>
      <c r="W131" s="389"/>
      <c r="X131" s="389"/>
      <c r="Y131" s="389"/>
      <c r="Z131" s="389">
        <f t="shared" si="18"/>
        <v>0</v>
      </c>
      <c r="AA131" s="389"/>
      <c r="AB131" s="389"/>
      <c r="AC131" s="389"/>
      <c r="AD131" s="389"/>
      <c r="AE131" s="389"/>
      <c r="AF131" s="389">
        <f t="shared" si="26"/>
        <v>0</v>
      </c>
      <c r="AG131" s="389"/>
      <c r="AH131" s="389"/>
      <c r="AI131" s="389"/>
    </row>
    <row r="132" spans="2:35" ht="14.25">
      <c r="B132" s="383"/>
      <c r="C132" s="383">
        <f>'[1]GASTOS MATRIZ'!B126</f>
        <v>390</v>
      </c>
      <c r="D132" s="381"/>
      <c r="E132" s="390"/>
      <c r="F132" s="390"/>
      <c r="G132" s="383" t="str">
        <f>'[1]GASTOS MATRIZ'!F126</f>
        <v>Otros Bienes de Consumo</v>
      </c>
      <c r="H132" s="382">
        <f aca="true" t="shared" si="30" ref="H132:M132">SUM(H133:H137)</f>
        <v>0</v>
      </c>
      <c r="I132" s="382">
        <f t="shared" si="30"/>
        <v>0</v>
      </c>
      <c r="J132" s="382">
        <f t="shared" si="30"/>
        <v>0</v>
      </c>
      <c r="K132" s="382">
        <f t="shared" si="30"/>
        <v>0</v>
      </c>
      <c r="L132" s="382">
        <f t="shared" si="30"/>
        <v>0</v>
      </c>
      <c r="M132" s="382">
        <f t="shared" si="30"/>
        <v>0</v>
      </c>
      <c r="N132" s="382">
        <v>0</v>
      </c>
      <c r="O132" s="382">
        <f>SUM(E132:J132)</f>
        <v>0</v>
      </c>
      <c r="P132" s="382">
        <v>0</v>
      </c>
      <c r="Q132" s="382">
        <v>0</v>
      </c>
      <c r="R132" s="382"/>
      <c r="S132" s="382"/>
      <c r="T132" s="382">
        <f>SUM(K132:P132)</f>
        <v>0</v>
      </c>
      <c r="U132" s="382">
        <f>SUM(U133:U137)</f>
        <v>0</v>
      </c>
      <c r="V132" s="382">
        <f>SUM(V133:V137)</f>
        <v>0</v>
      </c>
      <c r="W132" s="382">
        <f>SUM(W133:W137)</f>
        <v>0</v>
      </c>
      <c r="X132" s="382">
        <f>SUM(X133:X137)</f>
        <v>0</v>
      </c>
      <c r="Y132" s="382">
        <f>SUM(U132:X132)</f>
        <v>0</v>
      </c>
      <c r="Z132" s="382">
        <f t="shared" si="18"/>
        <v>0</v>
      </c>
      <c r="AA132" s="382">
        <f>SUM(AA133:AA137)</f>
        <v>0</v>
      </c>
      <c r="AB132" s="382">
        <f>SUM(AB133:AB137)</f>
        <v>0</v>
      </c>
      <c r="AC132" s="382">
        <f>SUM(AC133:AC137)</f>
        <v>0</v>
      </c>
      <c r="AD132" s="382">
        <f>SUM(AD133:AD137)</f>
        <v>0</v>
      </c>
      <c r="AE132" s="382">
        <f>SUM(AA132:AD132)</f>
        <v>0</v>
      </c>
      <c r="AF132" s="382">
        <f t="shared" si="26"/>
        <v>0</v>
      </c>
      <c r="AG132" s="382">
        <f>SUM(AG133:AG137)</f>
        <v>0</v>
      </c>
      <c r="AH132" s="382">
        <f>SUM(AH133:AH137)</f>
        <v>0</v>
      </c>
      <c r="AI132" s="382">
        <f>SUM(AI133:AI137)</f>
        <v>0</v>
      </c>
    </row>
    <row r="133" spans="2:35" ht="14.25">
      <c r="B133" s="391"/>
      <c r="C133" s="391"/>
      <c r="D133" s="386">
        <f>'[1]GASTOS MATRIZ'!C127</f>
        <v>390</v>
      </c>
      <c r="E133" s="387" t="str">
        <f>'[1]GASTOS MATRIZ'!D127</f>
        <v>30</v>
      </c>
      <c r="F133" s="387" t="str">
        <f>'[1]GASTOS MATRIZ'!E127</f>
        <v>011</v>
      </c>
      <c r="G133" s="391" t="str">
        <f>'[1]GASTOS MATRIZ'!F127</f>
        <v>Otros Bienes de Consumo</v>
      </c>
      <c r="H133" s="389">
        <f>'[1]GASTOS MATRIZ'!G127</f>
        <v>0</v>
      </c>
      <c r="I133" s="389">
        <f>'[1]GASTOS MATRIZ'!H127</f>
        <v>0</v>
      </c>
      <c r="J133" s="389">
        <f>H133+I133</f>
        <v>0</v>
      </c>
      <c r="K133" s="389">
        <f>'[1]RESU X MES'!H118</f>
        <v>0</v>
      </c>
      <c r="L133" s="389">
        <f>'[1]RESU X MES'!H376</f>
        <v>0</v>
      </c>
      <c r="M133" s="389">
        <f>'[1]RESU X MES'!H635</f>
        <v>0</v>
      </c>
      <c r="N133" s="389">
        <v>0</v>
      </c>
      <c r="O133" s="389">
        <f>SUM(E133:J133)</f>
        <v>0</v>
      </c>
      <c r="P133" s="389">
        <v>0</v>
      </c>
      <c r="Q133" s="389">
        <v>0</v>
      </c>
      <c r="R133" s="389"/>
      <c r="S133" s="389"/>
      <c r="T133" s="389">
        <f>SUM(K133:P133)</f>
        <v>0</v>
      </c>
      <c r="U133" s="389">
        <f>'[1]RESU X MES'!H1159</f>
        <v>0</v>
      </c>
      <c r="V133" s="389">
        <f>'[1]RESU X MES'!H1421</f>
        <v>0</v>
      </c>
      <c r="W133" s="389">
        <f>'[1]RESU X MES'!H1684</f>
        <v>0</v>
      </c>
      <c r="X133" s="389">
        <f>'[1]RESU X MES'!H1945</f>
        <v>0</v>
      </c>
      <c r="Y133" s="389">
        <f>SUM(U133:X133)</f>
        <v>0</v>
      </c>
      <c r="Z133" s="389">
        <f t="shared" si="18"/>
        <v>0</v>
      </c>
      <c r="AA133" s="389">
        <f>'[1]RESU X MES'!H2204</f>
        <v>0</v>
      </c>
      <c r="AB133" s="389">
        <f>'[1]RESU X MES'!H2466</f>
        <v>0</v>
      </c>
      <c r="AC133" s="389">
        <f>'[1]RESU X MES'!H2728</f>
        <v>0</v>
      </c>
      <c r="AD133" s="389">
        <f>'[1]RESU X MES'!H2991</f>
        <v>0</v>
      </c>
      <c r="AE133" s="389">
        <f>SUM(AA133:AD133)</f>
        <v>0</v>
      </c>
      <c r="AF133" s="389">
        <f t="shared" si="26"/>
        <v>0</v>
      </c>
      <c r="AG133" s="389">
        <f>J133-AF133</f>
        <v>0</v>
      </c>
      <c r="AH133" s="389">
        <f>AF133-AI133</f>
        <v>0</v>
      </c>
      <c r="AI133" s="389">
        <f>'[1]RESU X MES'!N118+'[1]RESU X MES'!N376+'[1]RESU X MES'!N635+'[1]RESU X MES'!N898+'[1]RESU X MES'!N1159+'[1]RESU X MES'!N1421+'[1]RESU X MES'!N1684+'[1]RESU X MES'!N1945+'[1]RESU X MES'!N2204+'[1]RESU X MES'!N2466+'[1]RESU X MES'!N2728+'[1]RESU X MES'!N2991</f>
        <v>0</v>
      </c>
    </row>
    <row r="134" spans="2:35" ht="15" customHeight="1" hidden="1">
      <c r="B134" s="391"/>
      <c r="C134" s="391"/>
      <c r="D134" s="386"/>
      <c r="E134" s="387"/>
      <c r="F134" s="387"/>
      <c r="G134" s="391"/>
      <c r="H134" s="389"/>
      <c r="I134" s="389"/>
      <c r="J134" s="389"/>
      <c r="K134" s="389"/>
      <c r="L134" s="389"/>
      <c r="M134" s="389"/>
      <c r="N134" s="389"/>
      <c r="O134" s="389"/>
      <c r="P134" s="389"/>
      <c r="Q134" s="389"/>
      <c r="R134" s="389"/>
      <c r="S134" s="389"/>
      <c r="T134" s="389"/>
      <c r="U134" s="389"/>
      <c r="V134" s="389"/>
      <c r="W134" s="389"/>
      <c r="X134" s="389"/>
      <c r="Y134" s="389"/>
      <c r="Z134" s="389">
        <f t="shared" si="18"/>
        <v>0</v>
      </c>
      <c r="AA134" s="389"/>
      <c r="AB134" s="389"/>
      <c r="AC134" s="389"/>
      <c r="AD134" s="389"/>
      <c r="AE134" s="389"/>
      <c r="AF134" s="389">
        <f t="shared" si="26"/>
        <v>0</v>
      </c>
      <c r="AG134" s="389"/>
      <c r="AH134" s="389"/>
      <c r="AI134" s="389"/>
    </row>
    <row r="135" spans="2:35" ht="15" customHeight="1" hidden="1">
      <c r="B135" s="391"/>
      <c r="C135" s="391"/>
      <c r="D135" s="386"/>
      <c r="E135" s="387"/>
      <c r="F135" s="387"/>
      <c r="G135" s="391"/>
      <c r="H135" s="389"/>
      <c r="I135" s="389"/>
      <c r="J135" s="389"/>
      <c r="K135" s="389"/>
      <c r="L135" s="389"/>
      <c r="M135" s="389"/>
      <c r="N135" s="389"/>
      <c r="O135" s="389"/>
      <c r="P135" s="389"/>
      <c r="Q135" s="389"/>
      <c r="R135" s="389"/>
      <c r="S135" s="389"/>
      <c r="T135" s="389"/>
      <c r="U135" s="389"/>
      <c r="V135" s="389"/>
      <c r="W135" s="389"/>
      <c r="X135" s="389"/>
      <c r="Y135" s="389"/>
      <c r="Z135" s="389">
        <f t="shared" si="18"/>
        <v>0</v>
      </c>
      <c r="AA135" s="389"/>
      <c r="AB135" s="389"/>
      <c r="AC135" s="389"/>
      <c r="AD135" s="389"/>
      <c r="AE135" s="389"/>
      <c r="AF135" s="389">
        <f t="shared" si="26"/>
        <v>0</v>
      </c>
      <c r="AG135" s="389"/>
      <c r="AH135" s="389"/>
      <c r="AI135" s="389"/>
    </row>
    <row r="136" spans="2:35" ht="15" customHeight="1" hidden="1">
      <c r="B136" s="391"/>
      <c r="C136" s="391"/>
      <c r="D136" s="386"/>
      <c r="E136" s="387"/>
      <c r="F136" s="387"/>
      <c r="G136" s="391"/>
      <c r="H136" s="389"/>
      <c r="I136" s="389"/>
      <c r="J136" s="389"/>
      <c r="K136" s="389"/>
      <c r="L136" s="389"/>
      <c r="M136" s="389"/>
      <c r="N136" s="389"/>
      <c r="O136" s="389"/>
      <c r="P136" s="389"/>
      <c r="Q136" s="389"/>
      <c r="R136" s="389"/>
      <c r="S136" s="389"/>
      <c r="T136" s="389"/>
      <c r="U136" s="389"/>
      <c r="V136" s="389"/>
      <c r="W136" s="389"/>
      <c r="X136" s="389"/>
      <c r="Y136" s="389"/>
      <c r="Z136" s="389">
        <f t="shared" si="18"/>
        <v>0</v>
      </c>
      <c r="AA136" s="389"/>
      <c r="AB136" s="389"/>
      <c r="AC136" s="389"/>
      <c r="AD136" s="389"/>
      <c r="AE136" s="389"/>
      <c r="AF136" s="389">
        <f t="shared" si="26"/>
        <v>0</v>
      </c>
      <c r="AG136" s="389"/>
      <c r="AH136" s="389"/>
      <c r="AI136" s="389"/>
    </row>
    <row r="137" spans="2:35" ht="15" customHeight="1" hidden="1">
      <c r="B137" s="391"/>
      <c r="C137" s="391"/>
      <c r="D137" s="386"/>
      <c r="E137" s="387"/>
      <c r="F137" s="387"/>
      <c r="G137" s="391"/>
      <c r="H137" s="389"/>
      <c r="I137" s="389"/>
      <c r="J137" s="389"/>
      <c r="K137" s="389"/>
      <c r="L137" s="389"/>
      <c r="M137" s="389"/>
      <c r="N137" s="389"/>
      <c r="O137" s="389"/>
      <c r="P137" s="389"/>
      <c r="Q137" s="389"/>
      <c r="R137" s="389"/>
      <c r="S137" s="389"/>
      <c r="T137" s="389"/>
      <c r="U137" s="389"/>
      <c r="V137" s="389"/>
      <c r="W137" s="389"/>
      <c r="X137" s="389"/>
      <c r="Y137" s="389"/>
      <c r="Z137" s="389">
        <f t="shared" si="18"/>
        <v>0</v>
      </c>
      <c r="AA137" s="389"/>
      <c r="AB137" s="389"/>
      <c r="AC137" s="389"/>
      <c r="AD137" s="389"/>
      <c r="AE137" s="389"/>
      <c r="AF137" s="389">
        <f t="shared" si="26"/>
        <v>0</v>
      </c>
      <c r="AG137" s="389"/>
      <c r="AH137" s="389"/>
      <c r="AI137" s="389"/>
    </row>
    <row r="138" spans="2:35" ht="15" customHeight="1" hidden="1">
      <c r="B138" s="381">
        <f>'[1]GASTOS MATRIZ'!A132</f>
        <v>700</v>
      </c>
      <c r="C138" s="381"/>
      <c r="D138" s="381"/>
      <c r="E138" s="390"/>
      <c r="F138" s="390"/>
      <c r="G138" s="383" t="str">
        <f>'[1]GASTOS MATRIZ'!F132</f>
        <v>SERVICIO DE LA DEUDA PÚBLICA</v>
      </c>
      <c r="H138" s="382">
        <f aca="true" t="shared" si="31" ref="H138:M139">H139</f>
        <v>0</v>
      </c>
      <c r="I138" s="382">
        <f t="shared" si="31"/>
        <v>0</v>
      </c>
      <c r="J138" s="382">
        <f t="shared" si="31"/>
        <v>0</v>
      </c>
      <c r="K138" s="382">
        <f t="shared" si="31"/>
        <v>0</v>
      </c>
      <c r="L138" s="382">
        <f t="shared" si="31"/>
        <v>0</v>
      </c>
      <c r="M138" s="382">
        <f t="shared" si="31"/>
        <v>0</v>
      </c>
      <c r="N138" s="382"/>
      <c r="O138" s="382">
        <f>SUM(E138:J138)</f>
        <v>0</v>
      </c>
      <c r="P138" s="382"/>
      <c r="Q138" s="382"/>
      <c r="R138" s="382"/>
      <c r="S138" s="382"/>
      <c r="T138" s="382">
        <f>SUM(K138:P138)</f>
        <v>0</v>
      </c>
      <c r="U138" s="382">
        <f aca="true" t="shared" si="32" ref="U138:X139">U139</f>
        <v>0</v>
      </c>
      <c r="V138" s="382">
        <f t="shared" si="32"/>
        <v>0</v>
      </c>
      <c r="W138" s="382">
        <f t="shared" si="32"/>
        <v>0</v>
      </c>
      <c r="X138" s="382">
        <f t="shared" si="32"/>
        <v>0</v>
      </c>
      <c r="Y138" s="382">
        <f>SUM(U138:X138)</f>
        <v>0</v>
      </c>
      <c r="Z138" s="382">
        <f t="shared" si="18"/>
        <v>0</v>
      </c>
      <c r="AA138" s="382">
        <f aca="true" t="shared" si="33" ref="AA138:AD139">AA139</f>
        <v>0</v>
      </c>
      <c r="AB138" s="382">
        <f t="shared" si="33"/>
        <v>0</v>
      </c>
      <c r="AC138" s="382">
        <f t="shared" si="33"/>
        <v>0</v>
      </c>
      <c r="AD138" s="382">
        <f t="shared" si="33"/>
        <v>0</v>
      </c>
      <c r="AE138" s="382">
        <f>SUM(AA138:AD138)</f>
        <v>0</v>
      </c>
      <c r="AF138" s="382">
        <f t="shared" si="26"/>
        <v>0</v>
      </c>
      <c r="AG138" s="382">
        <f aca="true" t="shared" si="34" ref="AG138:AI139">AG139</f>
        <v>0</v>
      </c>
      <c r="AH138" s="382">
        <f t="shared" si="34"/>
        <v>0</v>
      </c>
      <c r="AI138" s="382">
        <f t="shared" si="34"/>
        <v>0</v>
      </c>
    </row>
    <row r="139" spans="2:35" ht="15" customHeight="1" hidden="1">
      <c r="B139" s="383"/>
      <c r="C139" s="383">
        <f>'[1]GASTOS MATRIZ'!B133</f>
        <v>710</v>
      </c>
      <c r="D139" s="381"/>
      <c r="E139" s="390"/>
      <c r="F139" s="390"/>
      <c r="G139" s="383" t="str">
        <f>'[1]GASTOS MATRIZ'!F133</f>
        <v>Interes De la Deuda Pública Interna</v>
      </c>
      <c r="H139" s="382">
        <f t="shared" si="31"/>
        <v>0</v>
      </c>
      <c r="I139" s="382">
        <f t="shared" si="31"/>
        <v>0</v>
      </c>
      <c r="J139" s="382">
        <f t="shared" si="31"/>
        <v>0</v>
      </c>
      <c r="K139" s="382">
        <f t="shared" si="31"/>
        <v>0</v>
      </c>
      <c r="L139" s="382">
        <f t="shared" si="31"/>
        <v>0</v>
      </c>
      <c r="M139" s="382">
        <f t="shared" si="31"/>
        <v>0</v>
      </c>
      <c r="N139" s="382"/>
      <c r="O139" s="382">
        <f>SUM(E139:J139)</f>
        <v>0</v>
      </c>
      <c r="P139" s="382"/>
      <c r="Q139" s="382"/>
      <c r="R139" s="382"/>
      <c r="S139" s="382"/>
      <c r="T139" s="382">
        <f>SUM(K139:P139)</f>
        <v>0</v>
      </c>
      <c r="U139" s="382">
        <f t="shared" si="32"/>
        <v>0</v>
      </c>
      <c r="V139" s="382">
        <f t="shared" si="32"/>
        <v>0</v>
      </c>
      <c r="W139" s="382">
        <f t="shared" si="32"/>
        <v>0</v>
      </c>
      <c r="X139" s="382">
        <f t="shared" si="32"/>
        <v>0</v>
      </c>
      <c r="Y139" s="382">
        <f>SUM(U139:X139)</f>
        <v>0</v>
      </c>
      <c r="Z139" s="382">
        <f t="shared" si="18"/>
        <v>0</v>
      </c>
      <c r="AA139" s="382">
        <f t="shared" si="33"/>
        <v>0</v>
      </c>
      <c r="AB139" s="382">
        <f t="shared" si="33"/>
        <v>0</v>
      </c>
      <c r="AC139" s="382">
        <f t="shared" si="33"/>
        <v>0</v>
      </c>
      <c r="AD139" s="382">
        <f t="shared" si="33"/>
        <v>0</v>
      </c>
      <c r="AE139" s="382">
        <f>SUM(AA139:AD139)</f>
        <v>0</v>
      </c>
      <c r="AF139" s="382">
        <f t="shared" si="26"/>
        <v>0</v>
      </c>
      <c r="AG139" s="382">
        <f t="shared" si="34"/>
        <v>0</v>
      </c>
      <c r="AH139" s="382">
        <f t="shared" si="34"/>
        <v>0</v>
      </c>
      <c r="AI139" s="382">
        <f t="shared" si="34"/>
        <v>0</v>
      </c>
    </row>
    <row r="140" spans="2:35" ht="15" customHeight="1" hidden="1">
      <c r="B140" s="383"/>
      <c r="C140" s="383"/>
      <c r="D140" s="381">
        <f>'[1]GASTOS MATRIZ'!C134</f>
        <v>713</v>
      </c>
      <c r="E140" s="390"/>
      <c r="F140" s="390"/>
      <c r="G140" s="394" t="str">
        <f>'[1]GASTOS MATRIZ'!F134</f>
        <v>Interes de la Deuda con el Sector Privado</v>
      </c>
      <c r="H140" s="395">
        <f aca="true" t="shared" si="35" ref="H140:M140">SUM(H141:H142)</f>
        <v>0</v>
      </c>
      <c r="I140" s="395">
        <f t="shared" si="35"/>
        <v>0</v>
      </c>
      <c r="J140" s="395">
        <f t="shared" si="35"/>
        <v>0</v>
      </c>
      <c r="K140" s="395">
        <f t="shared" si="35"/>
        <v>0</v>
      </c>
      <c r="L140" s="395">
        <f t="shared" si="35"/>
        <v>0</v>
      </c>
      <c r="M140" s="395">
        <f t="shared" si="35"/>
        <v>0</v>
      </c>
      <c r="N140" s="395"/>
      <c r="O140" s="395">
        <f>SUM(E140:J140)</f>
        <v>0</v>
      </c>
      <c r="P140" s="395"/>
      <c r="Q140" s="395"/>
      <c r="R140" s="395"/>
      <c r="S140" s="395"/>
      <c r="T140" s="395">
        <f>SUM(K140:P140)</f>
        <v>0</v>
      </c>
      <c r="U140" s="395">
        <f>SUM(U141:U142)</f>
        <v>0</v>
      </c>
      <c r="V140" s="395">
        <f>SUM(V141:V142)</f>
        <v>0</v>
      </c>
      <c r="W140" s="395">
        <f>SUM(W141:W142)</f>
        <v>0</v>
      </c>
      <c r="X140" s="395">
        <f>SUM(X141:X142)</f>
        <v>0</v>
      </c>
      <c r="Y140" s="395">
        <f>SUM(U140:X140)</f>
        <v>0</v>
      </c>
      <c r="Z140" s="395">
        <f t="shared" si="18"/>
        <v>0</v>
      </c>
      <c r="AA140" s="395">
        <f>SUM(AA141:AA142)</f>
        <v>0</v>
      </c>
      <c r="AB140" s="395">
        <f>SUM(AB141:AB142)</f>
        <v>0</v>
      </c>
      <c r="AC140" s="395">
        <f>SUM(AC141:AC142)</f>
        <v>0</v>
      </c>
      <c r="AD140" s="395">
        <f>SUM(AD141:AD142)</f>
        <v>0</v>
      </c>
      <c r="AE140" s="395">
        <f>SUM(AA140:AD140)</f>
        <v>0</v>
      </c>
      <c r="AF140" s="395">
        <f t="shared" si="26"/>
        <v>0</v>
      </c>
      <c r="AG140" s="395">
        <f>SUM(AG141:AG142)</f>
        <v>0</v>
      </c>
      <c r="AH140" s="395">
        <f>SUM(AH141:AH142)</f>
        <v>0</v>
      </c>
      <c r="AI140" s="395">
        <f>SUM(AI141:AI142)</f>
        <v>0</v>
      </c>
    </row>
    <row r="141" spans="2:35" ht="15" customHeight="1" hidden="1">
      <c r="B141" s="396"/>
      <c r="C141" s="396"/>
      <c r="D141" s="397"/>
      <c r="E141" s="398"/>
      <c r="F141" s="398"/>
      <c r="G141" s="399"/>
      <c r="H141" s="400"/>
      <c r="I141" s="400"/>
      <c r="J141" s="400"/>
      <c r="K141" s="389"/>
      <c r="L141" s="389"/>
      <c r="M141" s="389"/>
      <c r="N141" s="389"/>
      <c r="O141" s="389"/>
      <c r="P141" s="389"/>
      <c r="Q141" s="389"/>
      <c r="R141" s="389"/>
      <c r="S141" s="389"/>
      <c r="T141" s="389"/>
      <c r="U141" s="389"/>
      <c r="V141" s="389"/>
      <c r="W141" s="389"/>
      <c r="X141" s="389"/>
      <c r="Y141" s="389"/>
      <c r="Z141" s="389">
        <f t="shared" si="18"/>
        <v>0</v>
      </c>
      <c r="AA141" s="389"/>
      <c r="AB141" s="389"/>
      <c r="AC141" s="389"/>
      <c r="AD141" s="389"/>
      <c r="AE141" s="389"/>
      <c r="AF141" s="389">
        <f t="shared" si="26"/>
        <v>0</v>
      </c>
      <c r="AG141" s="389"/>
      <c r="AH141" s="389"/>
      <c r="AI141" s="389"/>
    </row>
    <row r="142" spans="2:35" ht="15" customHeight="1" hidden="1">
      <c r="B142" s="391"/>
      <c r="C142" s="391"/>
      <c r="D142" s="386"/>
      <c r="E142" s="387"/>
      <c r="F142" s="387"/>
      <c r="G142" s="391"/>
      <c r="H142" s="389"/>
      <c r="I142" s="389"/>
      <c r="J142" s="389"/>
      <c r="K142" s="389"/>
      <c r="L142" s="389"/>
      <c r="M142" s="389"/>
      <c r="N142" s="389"/>
      <c r="O142" s="389"/>
      <c r="P142" s="389"/>
      <c r="Q142" s="389"/>
      <c r="R142" s="389"/>
      <c r="S142" s="389"/>
      <c r="T142" s="389"/>
      <c r="U142" s="389"/>
      <c r="V142" s="389"/>
      <c r="W142" s="389"/>
      <c r="X142" s="389"/>
      <c r="Y142" s="389"/>
      <c r="Z142" s="389">
        <f t="shared" si="18"/>
        <v>0</v>
      </c>
      <c r="AA142" s="389"/>
      <c r="AB142" s="389"/>
      <c r="AC142" s="389"/>
      <c r="AD142" s="389"/>
      <c r="AE142" s="389"/>
      <c r="AF142" s="389">
        <f t="shared" si="26"/>
        <v>0</v>
      </c>
      <c r="AG142" s="389"/>
      <c r="AH142" s="389"/>
      <c r="AI142" s="389"/>
    </row>
    <row r="143" spans="2:35" ht="15" customHeight="1" hidden="1">
      <c r="B143" s="381">
        <f>'[1]GASTOS MATRIZ'!A137</f>
        <v>800</v>
      </c>
      <c r="C143" s="381"/>
      <c r="D143" s="381"/>
      <c r="E143" s="390"/>
      <c r="F143" s="390"/>
      <c r="G143" s="383" t="str">
        <f>'[1]GASTOS MATRIZ'!F137</f>
        <v>TRANSFERENCIAS</v>
      </c>
      <c r="H143" s="382">
        <f aca="true" t="shared" si="36" ref="H143:M143">H144+H150+H161</f>
        <v>0</v>
      </c>
      <c r="I143" s="382">
        <f t="shared" si="36"/>
        <v>0</v>
      </c>
      <c r="J143" s="382">
        <f t="shared" si="36"/>
        <v>0</v>
      </c>
      <c r="K143" s="382">
        <f t="shared" si="36"/>
        <v>0</v>
      </c>
      <c r="L143" s="382">
        <f t="shared" si="36"/>
        <v>0</v>
      </c>
      <c r="M143" s="382">
        <f t="shared" si="36"/>
        <v>0</v>
      </c>
      <c r="N143" s="382"/>
      <c r="O143" s="382">
        <f>SUM(E143:J143)</f>
        <v>0</v>
      </c>
      <c r="P143" s="382"/>
      <c r="Q143" s="382"/>
      <c r="R143" s="382"/>
      <c r="S143" s="382"/>
      <c r="T143" s="382">
        <f>SUM(K143:P143)</f>
        <v>0</v>
      </c>
      <c r="U143" s="382">
        <f>U144+U150+U161</f>
        <v>0</v>
      </c>
      <c r="V143" s="382">
        <f>V144+V150+V161</f>
        <v>0</v>
      </c>
      <c r="W143" s="382">
        <f>W144+W150+W161</f>
        <v>0</v>
      </c>
      <c r="X143" s="382">
        <f>X144+X150+X161</f>
        <v>0</v>
      </c>
      <c r="Y143" s="382">
        <f>SUM(U143:X143)</f>
        <v>0</v>
      </c>
      <c r="Z143" s="382">
        <f t="shared" si="18"/>
        <v>0</v>
      </c>
      <c r="AA143" s="382">
        <f>AA144+AA150+AA161</f>
        <v>0</v>
      </c>
      <c r="AB143" s="382">
        <f>AB144+AB150+AB161</f>
        <v>0</v>
      </c>
      <c r="AC143" s="382">
        <f>AC144+AC150+AC161</f>
        <v>0</v>
      </c>
      <c r="AD143" s="382">
        <f>AD144+AD150+AD161</f>
        <v>0</v>
      </c>
      <c r="AE143" s="382">
        <f>SUM(AA143:AD143)</f>
        <v>0</v>
      </c>
      <c r="AF143" s="382">
        <f t="shared" si="26"/>
        <v>0</v>
      </c>
      <c r="AG143" s="382">
        <f>AG144+AG150+AG161</f>
        <v>0</v>
      </c>
      <c r="AH143" s="382">
        <f>AH144+AH150+AH161</f>
        <v>0</v>
      </c>
      <c r="AI143" s="382">
        <f>AI144+AI150+AI161</f>
        <v>0</v>
      </c>
    </row>
    <row r="144" spans="2:35" ht="15" customHeight="1" hidden="1">
      <c r="B144" s="383"/>
      <c r="C144" s="383">
        <f>'[1]GASTOS MATRIZ'!B138</f>
        <v>810</v>
      </c>
      <c r="D144" s="381"/>
      <c r="E144" s="390"/>
      <c r="F144" s="390"/>
      <c r="G144" s="383" t="str">
        <f>'[1]GASTOS MATRIZ'!F138</f>
        <v>Transferencias Corrientes al Sector Público</v>
      </c>
      <c r="H144" s="382">
        <f aca="true" t="shared" si="37" ref="H144:M144">H145</f>
        <v>0</v>
      </c>
      <c r="I144" s="382">
        <f t="shared" si="37"/>
        <v>0</v>
      </c>
      <c r="J144" s="382">
        <f t="shared" si="37"/>
        <v>0</v>
      </c>
      <c r="K144" s="382">
        <f t="shared" si="37"/>
        <v>0</v>
      </c>
      <c r="L144" s="382">
        <f t="shared" si="37"/>
        <v>0</v>
      </c>
      <c r="M144" s="382">
        <f t="shared" si="37"/>
        <v>0</v>
      </c>
      <c r="N144" s="382"/>
      <c r="O144" s="382">
        <f>SUM(E144:J144)</f>
        <v>0</v>
      </c>
      <c r="P144" s="382"/>
      <c r="Q144" s="382"/>
      <c r="R144" s="382"/>
      <c r="S144" s="382"/>
      <c r="T144" s="382">
        <f>SUM(K144:P144)</f>
        <v>0</v>
      </c>
      <c r="U144" s="382">
        <f>U145</f>
        <v>0</v>
      </c>
      <c r="V144" s="382">
        <f>V145</f>
        <v>0</v>
      </c>
      <c r="W144" s="382">
        <f>W145</f>
        <v>0</v>
      </c>
      <c r="X144" s="382">
        <f>X145</f>
        <v>0</v>
      </c>
      <c r="Y144" s="382">
        <f>SUM(U144:X144)</f>
        <v>0</v>
      </c>
      <c r="Z144" s="382">
        <f t="shared" si="18"/>
        <v>0</v>
      </c>
      <c r="AA144" s="382">
        <f>AA145</f>
        <v>0</v>
      </c>
      <c r="AB144" s="382">
        <f>AB145</f>
        <v>0</v>
      </c>
      <c r="AC144" s="382">
        <f>AC145</f>
        <v>0</v>
      </c>
      <c r="AD144" s="382">
        <f>AD145</f>
        <v>0</v>
      </c>
      <c r="AE144" s="382">
        <f>SUM(AA144:AD144)</f>
        <v>0</v>
      </c>
      <c r="AF144" s="382">
        <f t="shared" si="26"/>
        <v>0</v>
      </c>
      <c r="AG144" s="382">
        <f>AG145</f>
        <v>0</v>
      </c>
      <c r="AH144" s="382">
        <f>AH145</f>
        <v>0</v>
      </c>
      <c r="AI144" s="382">
        <f>AI145</f>
        <v>0</v>
      </c>
    </row>
    <row r="145" spans="2:35" ht="30" customHeight="1" hidden="1">
      <c r="B145" s="383"/>
      <c r="C145" s="383"/>
      <c r="D145" s="381">
        <f>'[1]GASTOS MATRIZ'!C139</f>
        <v>814</v>
      </c>
      <c r="E145" s="390"/>
      <c r="F145" s="390"/>
      <c r="G145" s="394" t="str">
        <f>'[1]GASTOS MATRIZ'!F139</f>
        <v>Transf. Consolidables por Coparticipación Juegos de Azar</v>
      </c>
      <c r="H145" s="395">
        <f aca="true" t="shared" si="38" ref="H145:M145">SUM(H146:H149)</f>
        <v>0</v>
      </c>
      <c r="I145" s="395">
        <f t="shared" si="38"/>
        <v>0</v>
      </c>
      <c r="J145" s="395">
        <f t="shared" si="38"/>
        <v>0</v>
      </c>
      <c r="K145" s="395">
        <f t="shared" si="38"/>
        <v>0</v>
      </c>
      <c r="L145" s="395">
        <f t="shared" si="38"/>
        <v>0</v>
      </c>
      <c r="M145" s="395">
        <f t="shared" si="38"/>
        <v>0</v>
      </c>
      <c r="N145" s="395"/>
      <c r="O145" s="395">
        <f>SUM(E145:J145)</f>
        <v>0</v>
      </c>
      <c r="P145" s="395"/>
      <c r="Q145" s="395"/>
      <c r="R145" s="395"/>
      <c r="S145" s="395"/>
      <c r="T145" s="395">
        <f>SUM(K145:P145)</f>
        <v>0</v>
      </c>
      <c r="U145" s="395">
        <f>SUM(U146:U149)</f>
        <v>0</v>
      </c>
      <c r="V145" s="395">
        <f>SUM(V146:V149)</f>
        <v>0</v>
      </c>
      <c r="W145" s="395">
        <f>SUM(W146:W149)</f>
        <v>0</v>
      </c>
      <c r="X145" s="395">
        <f>SUM(X146:X149)</f>
        <v>0</v>
      </c>
      <c r="Y145" s="395">
        <f>SUM(U145:X145)</f>
        <v>0</v>
      </c>
      <c r="Z145" s="395">
        <f t="shared" si="18"/>
        <v>0</v>
      </c>
      <c r="AA145" s="395">
        <f>SUM(AA146:AA149)</f>
        <v>0</v>
      </c>
      <c r="AB145" s="395">
        <f>SUM(AB146:AB149)</f>
        <v>0</v>
      </c>
      <c r="AC145" s="395">
        <f>SUM(AC146:AC149)</f>
        <v>0</v>
      </c>
      <c r="AD145" s="395">
        <f>SUM(AD146:AD149)</f>
        <v>0</v>
      </c>
      <c r="AE145" s="395">
        <f>SUM(AA145:AD145)</f>
        <v>0</v>
      </c>
      <c r="AF145" s="395">
        <f t="shared" si="26"/>
        <v>0</v>
      </c>
      <c r="AG145" s="395">
        <f>SUM(AG146:AG149)</f>
        <v>0</v>
      </c>
      <c r="AH145" s="395">
        <f>SUM(AH146:AH149)</f>
        <v>0</v>
      </c>
      <c r="AI145" s="395">
        <f>SUM(AI146:AI149)</f>
        <v>0</v>
      </c>
    </row>
    <row r="146" spans="2:35" ht="15" customHeight="1" hidden="1">
      <c r="B146" s="396"/>
      <c r="C146" s="396"/>
      <c r="D146" s="397"/>
      <c r="E146" s="398"/>
      <c r="F146" s="398"/>
      <c r="G146" s="399"/>
      <c r="H146" s="400"/>
      <c r="I146" s="400"/>
      <c r="J146" s="400"/>
      <c r="K146" s="389"/>
      <c r="L146" s="389"/>
      <c r="M146" s="389"/>
      <c r="N146" s="389"/>
      <c r="O146" s="389"/>
      <c r="P146" s="389"/>
      <c r="Q146" s="389"/>
      <c r="R146" s="389"/>
      <c r="S146" s="389"/>
      <c r="T146" s="389"/>
      <c r="U146" s="389"/>
      <c r="V146" s="389"/>
      <c r="W146" s="389"/>
      <c r="X146" s="389"/>
      <c r="Y146" s="389"/>
      <c r="Z146" s="389">
        <f t="shared" si="18"/>
        <v>0</v>
      </c>
      <c r="AA146" s="389"/>
      <c r="AB146" s="389"/>
      <c r="AC146" s="389"/>
      <c r="AD146" s="389"/>
      <c r="AE146" s="389"/>
      <c r="AF146" s="389">
        <f t="shared" si="26"/>
        <v>0</v>
      </c>
      <c r="AG146" s="389"/>
      <c r="AH146" s="389"/>
      <c r="AI146" s="389"/>
    </row>
    <row r="147" spans="2:35" ht="15" customHeight="1" hidden="1">
      <c r="B147" s="391"/>
      <c r="C147" s="391"/>
      <c r="D147" s="386"/>
      <c r="E147" s="387"/>
      <c r="F147" s="387"/>
      <c r="G147" s="401"/>
      <c r="H147" s="389"/>
      <c r="I147" s="389"/>
      <c r="J147" s="389"/>
      <c r="K147" s="389"/>
      <c r="L147" s="389"/>
      <c r="M147" s="389"/>
      <c r="N147" s="389"/>
      <c r="O147" s="389"/>
      <c r="P147" s="389"/>
      <c r="Q147" s="389"/>
      <c r="R147" s="389"/>
      <c r="S147" s="389"/>
      <c r="T147" s="389"/>
      <c r="U147" s="389"/>
      <c r="V147" s="389"/>
      <c r="W147" s="389"/>
      <c r="X147" s="389"/>
      <c r="Y147" s="389"/>
      <c r="Z147" s="389">
        <f t="shared" si="18"/>
        <v>0</v>
      </c>
      <c r="AA147" s="389"/>
      <c r="AB147" s="389"/>
      <c r="AC147" s="389"/>
      <c r="AD147" s="389"/>
      <c r="AE147" s="389"/>
      <c r="AF147" s="389">
        <f t="shared" si="26"/>
        <v>0</v>
      </c>
      <c r="AG147" s="389"/>
      <c r="AH147" s="389"/>
      <c r="AI147" s="389"/>
    </row>
    <row r="148" spans="2:35" ht="15" customHeight="1" hidden="1">
      <c r="B148" s="391"/>
      <c r="C148" s="391"/>
      <c r="D148" s="386"/>
      <c r="E148" s="387"/>
      <c r="F148" s="387"/>
      <c r="G148" s="401"/>
      <c r="H148" s="389"/>
      <c r="I148" s="389"/>
      <c r="J148" s="389"/>
      <c r="K148" s="389"/>
      <c r="L148" s="389"/>
      <c r="M148" s="389"/>
      <c r="N148" s="389"/>
      <c r="O148" s="389"/>
      <c r="P148" s="389"/>
      <c r="Q148" s="389"/>
      <c r="R148" s="389"/>
      <c r="S148" s="389"/>
      <c r="T148" s="389"/>
      <c r="U148" s="389"/>
      <c r="V148" s="389"/>
      <c r="W148" s="389"/>
      <c r="X148" s="389"/>
      <c r="Y148" s="389"/>
      <c r="Z148" s="389">
        <f t="shared" si="18"/>
        <v>0</v>
      </c>
      <c r="AA148" s="389"/>
      <c r="AB148" s="389"/>
      <c r="AC148" s="389"/>
      <c r="AD148" s="389"/>
      <c r="AE148" s="389"/>
      <c r="AF148" s="389">
        <f t="shared" si="26"/>
        <v>0</v>
      </c>
      <c r="AG148" s="389"/>
      <c r="AH148" s="389"/>
      <c r="AI148" s="389"/>
    </row>
    <row r="149" spans="2:35" ht="15" customHeight="1" hidden="1">
      <c r="B149" s="391"/>
      <c r="C149" s="391"/>
      <c r="D149" s="386"/>
      <c r="E149" s="387"/>
      <c r="F149" s="387"/>
      <c r="G149" s="391"/>
      <c r="H149" s="389"/>
      <c r="I149" s="389"/>
      <c r="J149" s="389"/>
      <c r="K149" s="389"/>
      <c r="L149" s="389"/>
      <c r="M149" s="389"/>
      <c r="N149" s="389"/>
      <c r="O149" s="389"/>
      <c r="P149" s="389"/>
      <c r="Q149" s="389"/>
      <c r="R149" s="389"/>
      <c r="S149" s="389"/>
      <c r="T149" s="389"/>
      <c r="U149" s="389"/>
      <c r="V149" s="389"/>
      <c r="W149" s="389"/>
      <c r="X149" s="389"/>
      <c r="Y149" s="389"/>
      <c r="Z149" s="389">
        <f t="shared" si="18"/>
        <v>0</v>
      </c>
      <c r="AA149" s="389"/>
      <c r="AB149" s="389"/>
      <c r="AC149" s="389"/>
      <c r="AD149" s="389"/>
      <c r="AE149" s="389"/>
      <c r="AF149" s="389">
        <f t="shared" si="26"/>
        <v>0</v>
      </c>
      <c r="AG149" s="389"/>
      <c r="AH149" s="389"/>
      <c r="AI149" s="389"/>
    </row>
    <row r="150" spans="2:35" ht="30" customHeight="1" hidden="1">
      <c r="B150" s="381"/>
      <c r="C150" s="381">
        <f>'[1]GASTOS MATRIZ'!B144</f>
        <v>830</v>
      </c>
      <c r="D150" s="381"/>
      <c r="E150" s="390"/>
      <c r="F150" s="390"/>
      <c r="G150" s="402" t="str">
        <f>'[1]GASTOS MATRIZ'!F144</f>
        <v>Otras transferencias Corrientes al sector público o privado</v>
      </c>
      <c r="H150" s="382">
        <f aca="true" t="shared" si="39" ref="H150:M150">H151+H154+H157</f>
        <v>0</v>
      </c>
      <c r="I150" s="382">
        <f t="shared" si="39"/>
        <v>0</v>
      </c>
      <c r="J150" s="382">
        <f t="shared" si="39"/>
        <v>0</v>
      </c>
      <c r="K150" s="382">
        <f t="shared" si="39"/>
        <v>0</v>
      </c>
      <c r="L150" s="382">
        <f t="shared" si="39"/>
        <v>0</v>
      </c>
      <c r="M150" s="382">
        <f t="shared" si="39"/>
        <v>0</v>
      </c>
      <c r="N150" s="382"/>
      <c r="O150" s="382">
        <f>SUM(E150:J150)</f>
        <v>0</v>
      </c>
      <c r="P150" s="382"/>
      <c r="Q150" s="382"/>
      <c r="R150" s="382"/>
      <c r="S150" s="382"/>
      <c r="T150" s="382">
        <f>SUM(K150:P150)</f>
        <v>0</v>
      </c>
      <c r="U150" s="382">
        <f>U151+U154+U157</f>
        <v>0</v>
      </c>
      <c r="V150" s="382">
        <f>V151+V154+V157</f>
        <v>0</v>
      </c>
      <c r="W150" s="382">
        <f>W151+W154+W157</f>
        <v>0</v>
      </c>
      <c r="X150" s="382">
        <f>X151+X154+X157</f>
        <v>0</v>
      </c>
      <c r="Y150" s="382">
        <f>SUM(U150:X150)</f>
        <v>0</v>
      </c>
      <c r="Z150" s="382">
        <f t="shared" si="18"/>
        <v>0</v>
      </c>
      <c r="AA150" s="382">
        <f>AA151+AA154+AA157</f>
        <v>0</v>
      </c>
      <c r="AB150" s="382">
        <f>AB151+AB154+AB157</f>
        <v>0</v>
      </c>
      <c r="AC150" s="382">
        <f>AC151+AC154+AC157</f>
        <v>0</v>
      </c>
      <c r="AD150" s="382">
        <f>AD151+AD154+AD157</f>
        <v>0</v>
      </c>
      <c r="AE150" s="382">
        <f>SUM(AA150:AD150)</f>
        <v>0</v>
      </c>
      <c r="AF150" s="382">
        <f t="shared" si="26"/>
        <v>0</v>
      </c>
      <c r="AG150" s="382">
        <f>AG151+AG154+AG157</f>
        <v>0</v>
      </c>
      <c r="AH150" s="382">
        <f>AH151+AH154+AH157</f>
        <v>0</v>
      </c>
      <c r="AI150" s="382">
        <f>AI151+AI154+AI157</f>
        <v>0</v>
      </c>
    </row>
    <row r="151" spans="2:35" ht="30" customHeight="1" hidden="1">
      <c r="B151" s="391"/>
      <c r="C151" s="391"/>
      <c r="D151" s="381">
        <f>'[1]GASTOS MATRIZ'!C145</f>
        <v>831</v>
      </c>
      <c r="E151" s="387"/>
      <c r="F151" s="387"/>
      <c r="G151" s="403" t="str">
        <f>'[1]GASTOS MATRIZ'!F145</f>
        <v>Otras Transf. a Ent. con fines Soc. o de Emergencia Nacional</v>
      </c>
      <c r="H151" s="395">
        <f aca="true" t="shared" si="40" ref="H151:M151">SUM(H152:H153)</f>
        <v>0</v>
      </c>
      <c r="I151" s="395">
        <f t="shared" si="40"/>
        <v>0</v>
      </c>
      <c r="J151" s="395">
        <f t="shared" si="40"/>
        <v>0</v>
      </c>
      <c r="K151" s="395">
        <f t="shared" si="40"/>
        <v>0</v>
      </c>
      <c r="L151" s="395">
        <f t="shared" si="40"/>
        <v>0</v>
      </c>
      <c r="M151" s="395">
        <f t="shared" si="40"/>
        <v>0</v>
      </c>
      <c r="N151" s="395"/>
      <c r="O151" s="395">
        <f>SUM(E151:J151)</f>
        <v>0</v>
      </c>
      <c r="P151" s="395"/>
      <c r="Q151" s="395"/>
      <c r="R151" s="395"/>
      <c r="S151" s="395"/>
      <c r="T151" s="395">
        <f>SUM(K151:P151)</f>
        <v>0</v>
      </c>
      <c r="U151" s="395">
        <f>SUM(U152:U153)</f>
        <v>0</v>
      </c>
      <c r="V151" s="395">
        <f>SUM(V152:V153)</f>
        <v>0</v>
      </c>
      <c r="W151" s="395">
        <f>SUM(W152:W153)</f>
        <v>0</v>
      </c>
      <c r="X151" s="395">
        <f>SUM(X152:X153)</f>
        <v>0</v>
      </c>
      <c r="Y151" s="395">
        <f>SUM(U151:X151)</f>
        <v>0</v>
      </c>
      <c r="Z151" s="395">
        <f t="shared" si="18"/>
        <v>0</v>
      </c>
      <c r="AA151" s="395">
        <f>SUM(AA152:AA153)</f>
        <v>0</v>
      </c>
      <c r="AB151" s="395">
        <f>SUM(AB152:AB153)</f>
        <v>0</v>
      </c>
      <c r="AC151" s="395">
        <f>SUM(AC152:AC153)</f>
        <v>0</v>
      </c>
      <c r="AD151" s="395">
        <f>SUM(AD152:AD153)</f>
        <v>0</v>
      </c>
      <c r="AE151" s="395">
        <f>SUM(AA151:AD151)</f>
        <v>0</v>
      </c>
      <c r="AF151" s="395">
        <f t="shared" si="26"/>
        <v>0</v>
      </c>
      <c r="AG151" s="395">
        <f>SUM(AG152:AG153)</f>
        <v>0</v>
      </c>
      <c r="AH151" s="395">
        <f>SUM(AH152:AH153)</f>
        <v>0</v>
      </c>
      <c r="AI151" s="395">
        <f>SUM(AI152:AI153)</f>
        <v>0</v>
      </c>
    </row>
    <row r="152" spans="2:35" ht="15" customHeight="1" hidden="1">
      <c r="B152" s="391"/>
      <c r="C152" s="391"/>
      <c r="D152" s="386"/>
      <c r="E152" s="387"/>
      <c r="F152" s="387"/>
      <c r="G152" s="391"/>
      <c r="H152" s="389"/>
      <c r="I152" s="389"/>
      <c r="J152" s="389"/>
      <c r="K152" s="389"/>
      <c r="L152" s="389"/>
      <c r="M152" s="389"/>
      <c r="N152" s="389"/>
      <c r="O152" s="389"/>
      <c r="P152" s="389"/>
      <c r="Q152" s="389"/>
      <c r="R152" s="389"/>
      <c r="S152" s="389"/>
      <c r="T152" s="389"/>
      <c r="U152" s="389"/>
      <c r="V152" s="389"/>
      <c r="W152" s="389"/>
      <c r="X152" s="389"/>
      <c r="Y152" s="389"/>
      <c r="Z152" s="389">
        <f aca="true" t="shared" si="41" ref="Z152:Z215">T152+Y152</f>
        <v>0</v>
      </c>
      <c r="AA152" s="389"/>
      <c r="AB152" s="389"/>
      <c r="AC152" s="389"/>
      <c r="AD152" s="389"/>
      <c r="AE152" s="389"/>
      <c r="AF152" s="389">
        <f t="shared" si="26"/>
        <v>0</v>
      </c>
      <c r="AG152" s="389"/>
      <c r="AH152" s="389"/>
      <c r="AI152" s="389"/>
    </row>
    <row r="153" spans="2:35" ht="15" customHeight="1" hidden="1">
      <c r="B153" s="391"/>
      <c r="C153" s="391"/>
      <c r="D153" s="386"/>
      <c r="E153" s="387"/>
      <c r="F153" s="387"/>
      <c r="G153" s="391"/>
      <c r="H153" s="389"/>
      <c r="I153" s="389"/>
      <c r="J153" s="389"/>
      <c r="K153" s="389"/>
      <c r="L153" s="389"/>
      <c r="M153" s="389"/>
      <c r="N153" s="389"/>
      <c r="O153" s="389"/>
      <c r="P153" s="389"/>
      <c r="Q153" s="389"/>
      <c r="R153" s="389"/>
      <c r="S153" s="389"/>
      <c r="T153" s="389"/>
      <c r="U153" s="389"/>
      <c r="V153" s="389"/>
      <c r="W153" s="389"/>
      <c r="X153" s="389"/>
      <c r="Y153" s="389"/>
      <c r="Z153" s="389">
        <f t="shared" si="41"/>
        <v>0</v>
      </c>
      <c r="AA153" s="389"/>
      <c r="AB153" s="389"/>
      <c r="AC153" s="389"/>
      <c r="AD153" s="389"/>
      <c r="AE153" s="389"/>
      <c r="AF153" s="389">
        <f t="shared" si="26"/>
        <v>0</v>
      </c>
      <c r="AG153" s="389"/>
      <c r="AH153" s="389"/>
      <c r="AI153" s="389"/>
    </row>
    <row r="154" spans="2:35" ht="15" customHeight="1" hidden="1">
      <c r="B154" s="391"/>
      <c r="C154" s="391"/>
      <c r="D154" s="381">
        <f>'[1]GASTOS MATRIZ'!C148</f>
        <v>833</v>
      </c>
      <c r="E154" s="387"/>
      <c r="F154" s="387"/>
      <c r="G154" s="383" t="str">
        <f>'[1]GASTOS MATRIZ'!F148</f>
        <v>Transferencias a Municipalidades</v>
      </c>
      <c r="H154" s="382">
        <f aca="true" t="shared" si="42" ref="H154:M154">H155</f>
        <v>0</v>
      </c>
      <c r="I154" s="382">
        <f t="shared" si="42"/>
        <v>0</v>
      </c>
      <c r="J154" s="382">
        <f t="shared" si="42"/>
        <v>0</v>
      </c>
      <c r="K154" s="382">
        <f t="shared" si="42"/>
        <v>0</v>
      </c>
      <c r="L154" s="382">
        <f t="shared" si="42"/>
        <v>0</v>
      </c>
      <c r="M154" s="382">
        <f t="shared" si="42"/>
        <v>0</v>
      </c>
      <c r="N154" s="382"/>
      <c r="O154" s="382">
        <f>SUM(E154:J154)</f>
        <v>0</v>
      </c>
      <c r="P154" s="382"/>
      <c r="Q154" s="382"/>
      <c r="R154" s="382"/>
      <c r="S154" s="382"/>
      <c r="T154" s="382">
        <f>SUM(K154:P154)</f>
        <v>0</v>
      </c>
      <c r="U154" s="382">
        <f>U155</f>
        <v>0</v>
      </c>
      <c r="V154" s="382">
        <f>V155</f>
        <v>0</v>
      </c>
      <c r="W154" s="382">
        <f>W155</f>
        <v>0</v>
      </c>
      <c r="X154" s="382">
        <f>X155</f>
        <v>0</v>
      </c>
      <c r="Y154" s="382">
        <f>SUM(U154:X154)</f>
        <v>0</v>
      </c>
      <c r="Z154" s="382">
        <f t="shared" si="41"/>
        <v>0</v>
      </c>
      <c r="AA154" s="382">
        <f>AA155</f>
        <v>0</v>
      </c>
      <c r="AB154" s="382">
        <f>AB155</f>
        <v>0</v>
      </c>
      <c r="AC154" s="382">
        <f>AC155</f>
        <v>0</v>
      </c>
      <c r="AD154" s="382">
        <f>AD155</f>
        <v>0</v>
      </c>
      <c r="AE154" s="382">
        <f>SUM(AA154:AD154)</f>
        <v>0</v>
      </c>
      <c r="AF154" s="382">
        <f t="shared" si="26"/>
        <v>0</v>
      </c>
      <c r="AG154" s="382">
        <f>AG155</f>
        <v>0</v>
      </c>
      <c r="AH154" s="382">
        <f>AH155</f>
        <v>0</v>
      </c>
      <c r="AI154" s="382">
        <f>AI155</f>
        <v>0</v>
      </c>
    </row>
    <row r="155" spans="2:35" ht="15" customHeight="1" hidden="1">
      <c r="B155" s="391"/>
      <c r="C155" s="391"/>
      <c r="D155" s="386"/>
      <c r="E155" s="387"/>
      <c r="F155" s="387"/>
      <c r="G155" s="391"/>
      <c r="H155" s="389"/>
      <c r="I155" s="389"/>
      <c r="J155" s="389"/>
      <c r="K155" s="389"/>
      <c r="L155" s="389"/>
      <c r="M155" s="389"/>
      <c r="N155" s="389"/>
      <c r="O155" s="389"/>
      <c r="P155" s="389"/>
      <c r="Q155" s="389"/>
      <c r="R155" s="389"/>
      <c r="S155" s="389"/>
      <c r="T155" s="389"/>
      <c r="U155" s="389"/>
      <c r="V155" s="389"/>
      <c r="W155" s="389"/>
      <c r="X155" s="389"/>
      <c r="Y155" s="389"/>
      <c r="Z155" s="389">
        <f t="shared" si="41"/>
        <v>0</v>
      </c>
      <c r="AA155" s="389"/>
      <c r="AB155" s="389"/>
      <c r="AC155" s="389"/>
      <c r="AD155" s="389"/>
      <c r="AE155" s="389"/>
      <c r="AF155" s="389">
        <f t="shared" si="26"/>
        <v>0</v>
      </c>
      <c r="AG155" s="389"/>
      <c r="AH155" s="389"/>
      <c r="AI155" s="389"/>
    </row>
    <row r="156" spans="2:35" ht="15" customHeight="1" hidden="1">
      <c r="B156" s="391"/>
      <c r="C156" s="391"/>
      <c r="D156" s="386"/>
      <c r="E156" s="387"/>
      <c r="F156" s="387"/>
      <c r="G156" s="391"/>
      <c r="H156" s="389"/>
      <c r="I156" s="389"/>
      <c r="J156" s="389"/>
      <c r="K156" s="389"/>
      <c r="L156" s="389"/>
      <c r="M156" s="389"/>
      <c r="N156" s="389"/>
      <c r="O156" s="389"/>
      <c r="P156" s="389"/>
      <c r="Q156" s="389"/>
      <c r="R156" s="389"/>
      <c r="S156" s="389"/>
      <c r="T156" s="389"/>
      <c r="U156" s="389"/>
      <c r="V156" s="389"/>
      <c r="W156" s="389"/>
      <c r="X156" s="389"/>
      <c r="Y156" s="389"/>
      <c r="Z156" s="389">
        <f t="shared" si="41"/>
        <v>0</v>
      </c>
      <c r="AA156" s="389"/>
      <c r="AB156" s="389"/>
      <c r="AC156" s="389"/>
      <c r="AD156" s="389"/>
      <c r="AE156" s="389"/>
      <c r="AF156" s="389">
        <f t="shared" si="26"/>
        <v>0</v>
      </c>
      <c r="AG156" s="389"/>
      <c r="AH156" s="389"/>
      <c r="AI156" s="389"/>
    </row>
    <row r="157" spans="2:35" ht="15" customHeight="1" hidden="1">
      <c r="B157" s="391"/>
      <c r="C157" s="391"/>
      <c r="D157" s="381">
        <f>'[1]GASTOS MATRIZ'!C151</f>
        <v>834</v>
      </c>
      <c r="E157" s="387"/>
      <c r="F157" s="387"/>
      <c r="G157" s="383" t="str">
        <f>'[1]GASTOS MATRIZ'!F151</f>
        <v>Otras Transf.al Sector Público</v>
      </c>
      <c r="H157" s="395">
        <f aca="true" t="shared" si="43" ref="H157:M157">SUM(H158:H159)</f>
        <v>0</v>
      </c>
      <c r="I157" s="395">
        <f t="shared" si="43"/>
        <v>0</v>
      </c>
      <c r="J157" s="395">
        <f t="shared" si="43"/>
        <v>0</v>
      </c>
      <c r="K157" s="395">
        <f t="shared" si="43"/>
        <v>0</v>
      </c>
      <c r="L157" s="395">
        <f t="shared" si="43"/>
        <v>0</v>
      </c>
      <c r="M157" s="395">
        <f t="shared" si="43"/>
        <v>0</v>
      </c>
      <c r="N157" s="395"/>
      <c r="O157" s="395">
        <f>SUM(E157:J157)</f>
        <v>0</v>
      </c>
      <c r="P157" s="395"/>
      <c r="Q157" s="395"/>
      <c r="R157" s="395"/>
      <c r="S157" s="395"/>
      <c r="T157" s="395">
        <f>SUM(K157:P157)</f>
        <v>0</v>
      </c>
      <c r="U157" s="395">
        <f>SUM(U158:U159)</f>
        <v>0</v>
      </c>
      <c r="V157" s="395">
        <f>SUM(V158:V159)</f>
        <v>0</v>
      </c>
      <c r="W157" s="395">
        <f>SUM(W158:W159)</f>
        <v>0</v>
      </c>
      <c r="X157" s="395">
        <f>SUM(X158:X159)</f>
        <v>0</v>
      </c>
      <c r="Y157" s="395">
        <f>SUM(U157:X157)</f>
        <v>0</v>
      </c>
      <c r="Z157" s="395">
        <f t="shared" si="41"/>
        <v>0</v>
      </c>
      <c r="AA157" s="395">
        <f>SUM(AA158:AA159)</f>
        <v>0</v>
      </c>
      <c r="AB157" s="395">
        <f>SUM(AB158:AB159)</f>
        <v>0</v>
      </c>
      <c r="AC157" s="395">
        <f>SUM(AC158:AC159)</f>
        <v>0</v>
      </c>
      <c r="AD157" s="395">
        <f>SUM(AD158:AD159)</f>
        <v>0</v>
      </c>
      <c r="AE157" s="395">
        <f>SUM(AA157:AD157)</f>
        <v>0</v>
      </c>
      <c r="AF157" s="395">
        <f t="shared" si="26"/>
        <v>0</v>
      </c>
      <c r="AG157" s="395">
        <f>SUM(AG158:AG159)</f>
        <v>0</v>
      </c>
      <c r="AH157" s="395">
        <f>SUM(AH158:AH159)</f>
        <v>0</v>
      </c>
      <c r="AI157" s="395">
        <f>SUM(AI158:AI159)</f>
        <v>0</v>
      </c>
    </row>
    <row r="158" spans="2:35" ht="15" customHeight="1" hidden="1">
      <c r="B158" s="391"/>
      <c r="C158" s="391"/>
      <c r="D158" s="386"/>
      <c r="E158" s="387"/>
      <c r="F158" s="387"/>
      <c r="G158" s="391"/>
      <c r="H158" s="389"/>
      <c r="I158" s="389"/>
      <c r="J158" s="389"/>
      <c r="K158" s="389"/>
      <c r="L158" s="389"/>
      <c r="M158" s="389"/>
      <c r="N158" s="389"/>
      <c r="O158" s="389"/>
      <c r="P158" s="389"/>
      <c r="Q158" s="389"/>
      <c r="R158" s="389"/>
      <c r="S158" s="389"/>
      <c r="T158" s="389"/>
      <c r="U158" s="389"/>
      <c r="V158" s="389"/>
      <c r="W158" s="389"/>
      <c r="X158" s="389"/>
      <c r="Y158" s="389"/>
      <c r="Z158" s="389">
        <f t="shared" si="41"/>
        <v>0</v>
      </c>
      <c r="AA158" s="389"/>
      <c r="AB158" s="389"/>
      <c r="AC158" s="389"/>
      <c r="AD158" s="389"/>
      <c r="AE158" s="389"/>
      <c r="AF158" s="389">
        <f t="shared" si="26"/>
        <v>0</v>
      </c>
      <c r="AG158" s="389"/>
      <c r="AH158" s="389"/>
      <c r="AI158" s="389"/>
    </row>
    <row r="159" spans="2:35" ht="15" customHeight="1" hidden="1">
      <c r="B159" s="391"/>
      <c r="C159" s="391"/>
      <c r="D159" s="386"/>
      <c r="E159" s="387"/>
      <c r="F159" s="387"/>
      <c r="G159" s="391"/>
      <c r="H159" s="389"/>
      <c r="I159" s="389"/>
      <c r="J159" s="389"/>
      <c r="K159" s="389"/>
      <c r="L159" s="389"/>
      <c r="M159" s="389"/>
      <c r="N159" s="389"/>
      <c r="O159" s="389"/>
      <c r="P159" s="389"/>
      <c r="Q159" s="389"/>
      <c r="R159" s="389"/>
      <c r="S159" s="389"/>
      <c r="T159" s="389"/>
      <c r="U159" s="389"/>
      <c r="V159" s="389"/>
      <c r="W159" s="389"/>
      <c r="X159" s="389"/>
      <c r="Y159" s="389"/>
      <c r="Z159" s="389">
        <f t="shared" si="41"/>
        <v>0</v>
      </c>
      <c r="AA159" s="389"/>
      <c r="AB159" s="389"/>
      <c r="AC159" s="389"/>
      <c r="AD159" s="389"/>
      <c r="AE159" s="389"/>
      <c r="AF159" s="389">
        <f t="shared" si="26"/>
        <v>0</v>
      </c>
      <c r="AG159" s="389"/>
      <c r="AH159" s="389"/>
      <c r="AI159" s="389"/>
    </row>
    <row r="160" spans="2:35" ht="15" customHeight="1" hidden="1">
      <c r="B160" s="391"/>
      <c r="C160" s="391"/>
      <c r="D160" s="386"/>
      <c r="E160" s="387"/>
      <c r="F160" s="387"/>
      <c r="G160" s="391"/>
      <c r="H160" s="389"/>
      <c r="I160" s="389"/>
      <c r="J160" s="389"/>
      <c r="K160" s="389"/>
      <c r="L160" s="389"/>
      <c r="M160" s="389"/>
      <c r="N160" s="389"/>
      <c r="O160" s="389"/>
      <c r="P160" s="389"/>
      <c r="Q160" s="389"/>
      <c r="R160" s="389"/>
      <c r="S160" s="389"/>
      <c r="T160" s="389"/>
      <c r="U160" s="389"/>
      <c r="V160" s="389"/>
      <c r="W160" s="389"/>
      <c r="X160" s="389"/>
      <c r="Y160" s="389"/>
      <c r="Z160" s="389">
        <f t="shared" si="41"/>
        <v>0</v>
      </c>
      <c r="AA160" s="389"/>
      <c r="AB160" s="389"/>
      <c r="AC160" s="389"/>
      <c r="AD160" s="389"/>
      <c r="AE160" s="389"/>
      <c r="AF160" s="389">
        <f t="shared" si="26"/>
        <v>0</v>
      </c>
      <c r="AG160" s="389"/>
      <c r="AH160" s="389"/>
      <c r="AI160" s="389"/>
    </row>
    <row r="161" spans="2:35" ht="30" customHeight="1" hidden="1">
      <c r="B161" s="383"/>
      <c r="C161" s="383">
        <f>'[1]GASTOS MATRIZ'!B156</f>
        <v>840</v>
      </c>
      <c r="D161" s="381"/>
      <c r="E161" s="390"/>
      <c r="F161" s="390"/>
      <c r="G161" s="402" t="str">
        <f>'[1]GASTOS MATRIZ'!F156</f>
        <v>Transferencias Corrientes  al  sector Privado, Varias</v>
      </c>
      <c r="H161" s="395">
        <f aca="true" t="shared" si="44" ref="H161:M161">H162+H166+H181+H186</f>
        <v>0</v>
      </c>
      <c r="I161" s="395">
        <f t="shared" si="44"/>
        <v>0</v>
      </c>
      <c r="J161" s="395">
        <f t="shared" si="44"/>
        <v>0</v>
      </c>
      <c r="K161" s="395">
        <f t="shared" si="44"/>
        <v>0</v>
      </c>
      <c r="L161" s="395">
        <f t="shared" si="44"/>
        <v>0</v>
      </c>
      <c r="M161" s="395">
        <f t="shared" si="44"/>
        <v>0</v>
      </c>
      <c r="N161" s="395"/>
      <c r="O161" s="395">
        <f>SUM(E161:J161)</f>
        <v>0</v>
      </c>
      <c r="P161" s="395"/>
      <c r="Q161" s="395"/>
      <c r="R161" s="395"/>
      <c r="S161" s="395"/>
      <c r="T161" s="395">
        <f>SUM(K161:P161)</f>
        <v>0</v>
      </c>
      <c r="U161" s="395">
        <f>U162+U166+U181+U186</f>
        <v>0</v>
      </c>
      <c r="V161" s="395">
        <f>V162+V166+V181+V186</f>
        <v>0</v>
      </c>
      <c r="W161" s="395">
        <f>W162+W166+W181+W186</f>
        <v>0</v>
      </c>
      <c r="X161" s="395">
        <f>X162+X166+X181+X186</f>
        <v>0</v>
      </c>
      <c r="Y161" s="395">
        <f>SUM(U161:X161)</f>
        <v>0</v>
      </c>
      <c r="Z161" s="395">
        <f t="shared" si="41"/>
        <v>0</v>
      </c>
      <c r="AA161" s="395">
        <f>AA162+AA166+AA181+AA186</f>
        <v>0</v>
      </c>
      <c r="AB161" s="395">
        <f>AB162+AB166+AB181+AB186</f>
        <v>0</v>
      </c>
      <c r="AC161" s="395">
        <f>AC162+AC166+AC181+AC186</f>
        <v>0</v>
      </c>
      <c r="AD161" s="395">
        <f>AD162+AD166+AD181+AD186</f>
        <v>0</v>
      </c>
      <c r="AE161" s="395">
        <f>SUM(AA161:AD161)</f>
        <v>0</v>
      </c>
      <c r="AF161" s="395">
        <f t="shared" si="26"/>
        <v>0</v>
      </c>
      <c r="AG161" s="395">
        <f>AG162+AG166+AG181+AG186</f>
        <v>0</v>
      </c>
      <c r="AH161" s="395">
        <f>AH162+AH166+AH181+AH186</f>
        <v>0</v>
      </c>
      <c r="AI161" s="395">
        <f>AI162+AI166+AI181+AI186</f>
        <v>0</v>
      </c>
    </row>
    <row r="162" spans="2:35" ht="15" customHeight="1" hidden="1">
      <c r="B162" s="381"/>
      <c r="C162" s="381"/>
      <c r="D162" s="381">
        <f>'[1]GASTOS MATRIZ'!C157</f>
        <v>841</v>
      </c>
      <c r="E162" s="390"/>
      <c r="F162" s="390"/>
      <c r="G162" s="403" t="str">
        <f>'[1]GASTOS MATRIZ'!F157</f>
        <v>Becas</v>
      </c>
      <c r="H162" s="395">
        <f aca="true" t="shared" si="45" ref="H162:M162">SUM(H163:H164)</f>
        <v>0</v>
      </c>
      <c r="I162" s="395">
        <f t="shared" si="45"/>
        <v>0</v>
      </c>
      <c r="J162" s="395">
        <f t="shared" si="45"/>
        <v>0</v>
      </c>
      <c r="K162" s="395">
        <f t="shared" si="45"/>
        <v>0</v>
      </c>
      <c r="L162" s="395">
        <f t="shared" si="45"/>
        <v>0</v>
      </c>
      <c r="M162" s="395">
        <f t="shared" si="45"/>
        <v>0</v>
      </c>
      <c r="N162" s="395"/>
      <c r="O162" s="395">
        <f>SUM(E162:J162)</f>
        <v>0</v>
      </c>
      <c r="P162" s="395"/>
      <c r="Q162" s="395"/>
      <c r="R162" s="395"/>
      <c r="S162" s="395"/>
      <c r="T162" s="395">
        <f>SUM(K162:P162)</f>
        <v>0</v>
      </c>
      <c r="U162" s="395">
        <f>SUM(U163:U164)</f>
        <v>0</v>
      </c>
      <c r="V162" s="395">
        <f>SUM(V163:V164)</f>
        <v>0</v>
      </c>
      <c r="W162" s="395">
        <f>SUM(W163:W164)</f>
        <v>0</v>
      </c>
      <c r="X162" s="395">
        <f>SUM(X163:X164)</f>
        <v>0</v>
      </c>
      <c r="Y162" s="395">
        <f>SUM(U162:X162)</f>
        <v>0</v>
      </c>
      <c r="Z162" s="395">
        <f t="shared" si="41"/>
        <v>0</v>
      </c>
      <c r="AA162" s="395">
        <f>SUM(AA163:AA164)</f>
        <v>0</v>
      </c>
      <c r="AB162" s="395">
        <f>SUM(AB163:AB164)</f>
        <v>0</v>
      </c>
      <c r="AC162" s="395">
        <f>SUM(AC163:AC164)</f>
        <v>0</v>
      </c>
      <c r="AD162" s="395">
        <f>SUM(AD163:AD164)</f>
        <v>0</v>
      </c>
      <c r="AE162" s="395">
        <f>SUM(AA162:AD162)</f>
        <v>0</v>
      </c>
      <c r="AF162" s="395">
        <f t="shared" si="26"/>
        <v>0</v>
      </c>
      <c r="AG162" s="395">
        <f>SUM(AG163:AG164)</f>
        <v>0</v>
      </c>
      <c r="AH162" s="395">
        <f>SUM(AH163:AH164)</f>
        <v>0</v>
      </c>
      <c r="AI162" s="395">
        <f>SUM(AI163:AI164)</f>
        <v>0</v>
      </c>
    </row>
    <row r="163" spans="2:35" ht="15" customHeight="1" hidden="1">
      <c r="B163" s="391"/>
      <c r="C163" s="391"/>
      <c r="D163" s="386"/>
      <c r="E163" s="387"/>
      <c r="F163" s="387"/>
      <c r="G163" s="391"/>
      <c r="H163" s="389"/>
      <c r="I163" s="389"/>
      <c r="J163" s="389"/>
      <c r="K163" s="389"/>
      <c r="L163" s="389"/>
      <c r="M163" s="389"/>
      <c r="N163" s="389"/>
      <c r="O163" s="389"/>
      <c r="P163" s="389"/>
      <c r="Q163" s="389"/>
      <c r="R163" s="389"/>
      <c r="S163" s="389"/>
      <c r="T163" s="389"/>
      <c r="U163" s="389"/>
      <c r="V163" s="389"/>
      <c r="W163" s="389"/>
      <c r="X163" s="389"/>
      <c r="Y163" s="389"/>
      <c r="Z163" s="389">
        <f t="shared" si="41"/>
        <v>0</v>
      </c>
      <c r="AA163" s="389"/>
      <c r="AB163" s="389"/>
      <c r="AC163" s="389"/>
      <c r="AD163" s="389"/>
      <c r="AE163" s="389"/>
      <c r="AF163" s="389">
        <f t="shared" si="26"/>
        <v>0</v>
      </c>
      <c r="AG163" s="389"/>
      <c r="AH163" s="389"/>
      <c r="AI163" s="389"/>
    </row>
    <row r="164" spans="2:35" ht="15" customHeight="1" hidden="1">
      <c r="B164" s="391"/>
      <c r="C164" s="391"/>
      <c r="D164" s="386"/>
      <c r="E164" s="387"/>
      <c r="F164" s="387"/>
      <c r="G164" s="391"/>
      <c r="H164" s="389"/>
      <c r="I164" s="389"/>
      <c r="J164" s="389"/>
      <c r="K164" s="389"/>
      <c r="L164" s="389"/>
      <c r="M164" s="389"/>
      <c r="N164" s="389"/>
      <c r="O164" s="389"/>
      <c r="P164" s="389"/>
      <c r="Q164" s="389"/>
      <c r="R164" s="389"/>
      <c r="S164" s="389"/>
      <c r="T164" s="389"/>
      <c r="U164" s="389"/>
      <c r="V164" s="389"/>
      <c r="W164" s="389"/>
      <c r="X164" s="389"/>
      <c r="Y164" s="389"/>
      <c r="Z164" s="389">
        <f t="shared" si="41"/>
        <v>0</v>
      </c>
      <c r="AA164" s="389"/>
      <c r="AB164" s="389"/>
      <c r="AC164" s="389"/>
      <c r="AD164" s="389"/>
      <c r="AE164" s="389"/>
      <c r="AF164" s="389">
        <f t="shared" si="26"/>
        <v>0</v>
      </c>
      <c r="AG164" s="389"/>
      <c r="AH164" s="389"/>
      <c r="AI164" s="389"/>
    </row>
    <row r="165" spans="2:35" ht="15" customHeight="1" hidden="1">
      <c r="B165" s="391"/>
      <c r="C165" s="391"/>
      <c r="D165" s="386"/>
      <c r="E165" s="387"/>
      <c r="F165" s="387"/>
      <c r="G165" s="391"/>
      <c r="H165" s="389"/>
      <c r="I165" s="389"/>
      <c r="J165" s="389"/>
      <c r="K165" s="389"/>
      <c r="L165" s="389"/>
      <c r="M165" s="389"/>
      <c r="N165" s="389"/>
      <c r="O165" s="389"/>
      <c r="P165" s="389"/>
      <c r="Q165" s="389"/>
      <c r="R165" s="389"/>
      <c r="S165" s="389"/>
      <c r="T165" s="389"/>
      <c r="U165" s="389"/>
      <c r="V165" s="389"/>
      <c r="W165" s="389"/>
      <c r="X165" s="389"/>
      <c r="Y165" s="389"/>
      <c r="Z165" s="389">
        <f t="shared" si="41"/>
        <v>0</v>
      </c>
      <c r="AA165" s="389"/>
      <c r="AB165" s="389"/>
      <c r="AC165" s="389"/>
      <c r="AD165" s="389"/>
      <c r="AE165" s="389"/>
      <c r="AF165" s="389">
        <f t="shared" si="26"/>
        <v>0</v>
      </c>
      <c r="AG165" s="389"/>
      <c r="AH165" s="389"/>
      <c r="AI165" s="389"/>
    </row>
    <row r="166" spans="2:35" ht="30" customHeight="1" hidden="1">
      <c r="B166" s="381"/>
      <c r="C166" s="381"/>
      <c r="D166" s="381">
        <f>'[1]GASTOS MATRIZ'!C161</f>
        <v>842</v>
      </c>
      <c r="E166" s="390"/>
      <c r="F166" s="390"/>
      <c r="G166" s="403" t="str">
        <f>'[1]GASTOS MATRIZ'!F161</f>
        <v>Aportes a Entidades Educ. e Instituciones s/ fines de lucro</v>
      </c>
      <c r="H166" s="395">
        <f aca="true" t="shared" si="46" ref="H166:M166">SUM(H167:H179)</f>
        <v>0</v>
      </c>
      <c r="I166" s="395">
        <f t="shared" si="46"/>
        <v>0</v>
      </c>
      <c r="J166" s="395">
        <f t="shared" si="46"/>
        <v>0</v>
      </c>
      <c r="K166" s="395">
        <f t="shared" si="46"/>
        <v>0</v>
      </c>
      <c r="L166" s="395">
        <f t="shared" si="46"/>
        <v>0</v>
      </c>
      <c r="M166" s="395">
        <f t="shared" si="46"/>
        <v>0</v>
      </c>
      <c r="N166" s="395"/>
      <c r="O166" s="395">
        <f>SUM(E166:J166)</f>
        <v>0</v>
      </c>
      <c r="P166" s="395"/>
      <c r="Q166" s="395"/>
      <c r="R166" s="395"/>
      <c r="S166" s="395"/>
      <c r="T166" s="395">
        <f>SUM(K166:P166)</f>
        <v>0</v>
      </c>
      <c r="U166" s="395">
        <f>SUM(U167:U179)</f>
        <v>0</v>
      </c>
      <c r="V166" s="395">
        <f>SUM(V167:V179)</f>
        <v>0</v>
      </c>
      <c r="W166" s="395">
        <f>SUM(W167:W179)</f>
        <v>0</v>
      </c>
      <c r="X166" s="395">
        <f>SUM(X167:X179)</f>
        <v>0</v>
      </c>
      <c r="Y166" s="395">
        <f>SUM(U166:X166)</f>
        <v>0</v>
      </c>
      <c r="Z166" s="395">
        <f t="shared" si="41"/>
        <v>0</v>
      </c>
      <c r="AA166" s="395">
        <f>SUM(AA167:AA179)</f>
        <v>0</v>
      </c>
      <c r="AB166" s="395">
        <f>SUM(AB167:AB179)</f>
        <v>0</v>
      </c>
      <c r="AC166" s="395">
        <f>SUM(AC167:AC179)</f>
        <v>0</v>
      </c>
      <c r="AD166" s="395">
        <f>SUM(AD167:AD179)</f>
        <v>0</v>
      </c>
      <c r="AE166" s="395">
        <f>SUM(AA166:AD166)</f>
        <v>0</v>
      </c>
      <c r="AF166" s="395">
        <f t="shared" si="26"/>
        <v>0</v>
      </c>
      <c r="AG166" s="395">
        <f>SUM(AG167:AG179)</f>
        <v>0</v>
      </c>
      <c r="AH166" s="395">
        <f>SUM(AH167:AH179)</f>
        <v>0</v>
      </c>
      <c r="AI166" s="395">
        <f>SUM(AI167:AI179)</f>
        <v>0</v>
      </c>
    </row>
    <row r="167" spans="2:35" ht="15" customHeight="1" hidden="1">
      <c r="B167" s="391"/>
      <c r="C167" s="391"/>
      <c r="D167" s="386"/>
      <c r="E167" s="387"/>
      <c r="F167" s="387"/>
      <c r="G167" s="391"/>
      <c r="H167" s="389"/>
      <c r="I167" s="389"/>
      <c r="J167" s="389"/>
      <c r="K167" s="389"/>
      <c r="L167" s="389"/>
      <c r="M167" s="389"/>
      <c r="N167" s="389"/>
      <c r="O167" s="389"/>
      <c r="P167" s="389"/>
      <c r="Q167" s="389"/>
      <c r="R167" s="389"/>
      <c r="S167" s="389"/>
      <c r="T167" s="389"/>
      <c r="U167" s="389"/>
      <c r="V167" s="389"/>
      <c r="W167" s="389"/>
      <c r="X167" s="389"/>
      <c r="Y167" s="389"/>
      <c r="Z167" s="389">
        <f t="shared" si="41"/>
        <v>0</v>
      </c>
      <c r="AA167" s="389"/>
      <c r="AB167" s="389"/>
      <c r="AC167" s="389"/>
      <c r="AD167" s="389"/>
      <c r="AE167" s="389"/>
      <c r="AF167" s="389">
        <f t="shared" si="26"/>
        <v>0</v>
      </c>
      <c r="AG167" s="389"/>
      <c r="AH167" s="389"/>
      <c r="AI167" s="389"/>
    </row>
    <row r="168" spans="2:35" ht="15" customHeight="1" hidden="1">
      <c r="B168" s="391"/>
      <c r="C168" s="391"/>
      <c r="D168" s="386"/>
      <c r="E168" s="387"/>
      <c r="F168" s="387"/>
      <c r="G168" s="391"/>
      <c r="H168" s="389"/>
      <c r="I168" s="389"/>
      <c r="J168" s="389"/>
      <c r="K168" s="389"/>
      <c r="L168" s="389"/>
      <c r="M168" s="389"/>
      <c r="N168" s="389"/>
      <c r="O168" s="389"/>
      <c r="P168" s="389"/>
      <c r="Q168" s="389"/>
      <c r="R168" s="389"/>
      <c r="S168" s="389"/>
      <c r="T168" s="389"/>
      <c r="U168" s="389"/>
      <c r="V168" s="389"/>
      <c r="W168" s="389"/>
      <c r="X168" s="389"/>
      <c r="Y168" s="389"/>
      <c r="Z168" s="389">
        <f t="shared" si="41"/>
        <v>0</v>
      </c>
      <c r="AA168" s="389"/>
      <c r="AB168" s="389"/>
      <c r="AC168" s="389"/>
      <c r="AD168" s="389"/>
      <c r="AE168" s="389"/>
      <c r="AF168" s="389">
        <f t="shared" si="26"/>
        <v>0</v>
      </c>
      <c r="AG168" s="389"/>
      <c r="AH168" s="389"/>
      <c r="AI168" s="389"/>
    </row>
    <row r="169" spans="2:35" ht="15" customHeight="1" hidden="1">
      <c r="B169" s="391"/>
      <c r="C169" s="391"/>
      <c r="D169" s="386"/>
      <c r="E169" s="387"/>
      <c r="F169" s="387"/>
      <c r="G169" s="391"/>
      <c r="H169" s="389"/>
      <c r="I169" s="389"/>
      <c r="J169" s="389"/>
      <c r="K169" s="389"/>
      <c r="L169" s="389"/>
      <c r="M169" s="389"/>
      <c r="N169" s="389"/>
      <c r="O169" s="389"/>
      <c r="P169" s="389"/>
      <c r="Q169" s="389"/>
      <c r="R169" s="389"/>
      <c r="S169" s="389"/>
      <c r="T169" s="389"/>
      <c r="U169" s="389"/>
      <c r="V169" s="389"/>
      <c r="W169" s="389"/>
      <c r="X169" s="389"/>
      <c r="Y169" s="389"/>
      <c r="Z169" s="389">
        <f t="shared" si="41"/>
        <v>0</v>
      </c>
      <c r="AA169" s="389"/>
      <c r="AB169" s="389"/>
      <c r="AC169" s="389"/>
      <c r="AD169" s="389"/>
      <c r="AE169" s="389"/>
      <c r="AF169" s="389">
        <f t="shared" si="26"/>
        <v>0</v>
      </c>
      <c r="AG169" s="389"/>
      <c r="AH169" s="389"/>
      <c r="AI169" s="389"/>
    </row>
    <row r="170" spans="2:35" ht="15" customHeight="1" hidden="1">
      <c r="B170" s="391"/>
      <c r="C170" s="391"/>
      <c r="D170" s="386"/>
      <c r="E170" s="387"/>
      <c r="F170" s="387"/>
      <c r="G170" s="391"/>
      <c r="H170" s="389"/>
      <c r="I170" s="389"/>
      <c r="J170" s="389"/>
      <c r="K170" s="389"/>
      <c r="L170" s="389"/>
      <c r="M170" s="389"/>
      <c r="N170" s="389"/>
      <c r="O170" s="389"/>
      <c r="P170" s="389"/>
      <c r="Q170" s="389"/>
      <c r="R170" s="389"/>
      <c r="S170" s="389"/>
      <c r="T170" s="389"/>
      <c r="U170" s="389"/>
      <c r="V170" s="389"/>
      <c r="W170" s="389"/>
      <c r="X170" s="389"/>
      <c r="Y170" s="389"/>
      <c r="Z170" s="389">
        <f t="shared" si="41"/>
        <v>0</v>
      </c>
      <c r="AA170" s="389"/>
      <c r="AB170" s="389"/>
      <c r="AC170" s="389"/>
      <c r="AD170" s="389"/>
      <c r="AE170" s="389"/>
      <c r="AF170" s="389">
        <f t="shared" si="26"/>
        <v>0</v>
      </c>
      <c r="AG170" s="389"/>
      <c r="AH170" s="389"/>
      <c r="AI170" s="389"/>
    </row>
    <row r="171" spans="2:35" ht="15" customHeight="1" hidden="1">
      <c r="B171" s="391"/>
      <c r="C171" s="391"/>
      <c r="D171" s="386"/>
      <c r="E171" s="387"/>
      <c r="F171" s="387"/>
      <c r="G171" s="391"/>
      <c r="H171" s="389"/>
      <c r="I171" s="389"/>
      <c r="J171" s="389"/>
      <c r="K171" s="389"/>
      <c r="L171" s="389"/>
      <c r="M171" s="389"/>
      <c r="N171" s="389"/>
      <c r="O171" s="389"/>
      <c r="P171" s="389"/>
      <c r="Q171" s="389"/>
      <c r="R171" s="389"/>
      <c r="S171" s="389"/>
      <c r="T171" s="389"/>
      <c r="U171" s="389"/>
      <c r="V171" s="389"/>
      <c r="W171" s="389"/>
      <c r="X171" s="389"/>
      <c r="Y171" s="389"/>
      <c r="Z171" s="389">
        <f t="shared" si="41"/>
        <v>0</v>
      </c>
      <c r="AA171" s="389"/>
      <c r="AB171" s="389"/>
      <c r="AC171" s="389"/>
      <c r="AD171" s="389"/>
      <c r="AE171" s="389"/>
      <c r="AF171" s="389">
        <f t="shared" si="26"/>
        <v>0</v>
      </c>
      <c r="AG171" s="389"/>
      <c r="AH171" s="389"/>
      <c r="AI171" s="389"/>
    </row>
    <row r="172" spans="2:35" ht="15" customHeight="1" hidden="1">
      <c r="B172" s="391"/>
      <c r="C172" s="391"/>
      <c r="D172" s="386"/>
      <c r="E172" s="387"/>
      <c r="F172" s="387"/>
      <c r="G172" s="391"/>
      <c r="H172" s="389"/>
      <c r="I172" s="389"/>
      <c r="J172" s="389"/>
      <c r="K172" s="389"/>
      <c r="L172" s="389"/>
      <c r="M172" s="389"/>
      <c r="N172" s="389"/>
      <c r="O172" s="389"/>
      <c r="P172" s="389"/>
      <c r="Q172" s="389"/>
      <c r="R172" s="389"/>
      <c r="S172" s="389"/>
      <c r="T172" s="389"/>
      <c r="U172" s="389"/>
      <c r="V172" s="389"/>
      <c r="W172" s="389"/>
      <c r="X172" s="389"/>
      <c r="Y172" s="389"/>
      <c r="Z172" s="389">
        <f t="shared" si="41"/>
        <v>0</v>
      </c>
      <c r="AA172" s="389"/>
      <c r="AB172" s="389"/>
      <c r="AC172" s="389"/>
      <c r="AD172" s="389"/>
      <c r="AE172" s="389"/>
      <c r="AF172" s="389">
        <f t="shared" si="26"/>
        <v>0</v>
      </c>
      <c r="AG172" s="389"/>
      <c r="AH172" s="389"/>
      <c r="AI172" s="389"/>
    </row>
    <row r="173" spans="2:35" ht="15" customHeight="1" hidden="1">
      <c r="B173" s="391"/>
      <c r="C173" s="391"/>
      <c r="D173" s="386"/>
      <c r="E173" s="387"/>
      <c r="F173" s="387"/>
      <c r="G173" s="391"/>
      <c r="H173" s="389"/>
      <c r="I173" s="389"/>
      <c r="J173" s="389"/>
      <c r="K173" s="389"/>
      <c r="L173" s="389"/>
      <c r="M173" s="389"/>
      <c r="N173" s="389"/>
      <c r="O173" s="389"/>
      <c r="P173" s="389"/>
      <c r="Q173" s="389"/>
      <c r="R173" s="389"/>
      <c r="S173" s="389"/>
      <c r="T173" s="389"/>
      <c r="U173" s="389"/>
      <c r="V173" s="389"/>
      <c r="W173" s="389"/>
      <c r="X173" s="389"/>
      <c r="Y173" s="389"/>
      <c r="Z173" s="389">
        <f t="shared" si="41"/>
        <v>0</v>
      </c>
      <c r="AA173" s="389"/>
      <c r="AB173" s="389"/>
      <c r="AC173" s="389"/>
      <c r="AD173" s="389"/>
      <c r="AE173" s="389"/>
      <c r="AF173" s="389">
        <f t="shared" si="26"/>
        <v>0</v>
      </c>
      <c r="AG173" s="389"/>
      <c r="AH173" s="389"/>
      <c r="AI173" s="389"/>
    </row>
    <row r="174" spans="2:35" ht="15" customHeight="1" hidden="1">
      <c r="B174" s="391"/>
      <c r="C174" s="391"/>
      <c r="D174" s="386"/>
      <c r="E174" s="387"/>
      <c r="F174" s="387"/>
      <c r="G174" s="391"/>
      <c r="H174" s="389"/>
      <c r="I174" s="389"/>
      <c r="J174" s="389"/>
      <c r="K174" s="389"/>
      <c r="L174" s="389"/>
      <c r="M174" s="389"/>
      <c r="N174" s="389"/>
      <c r="O174" s="389"/>
      <c r="P174" s="389"/>
      <c r="Q174" s="389"/>
      <c r="R174" s="389"/>
      <c r="S174" s="389"/>
      <c r="T174" s="389"/>
      <c r="U174" s="389"/>
      <c r="V174" s="389"/>
      <c r="W174" s="389"/>
      <c r="X174" s="389"/>
      <c r="Y174" s="389"/>
      <c r="Z174" s="389">
        <f t="shared" si="41"/>
        <v>0</v>
      </c>
      <c r="AA174" s="389"/>
      <c r="AB174" s="389"/>
      <c r="AC174" s="389"/>
      <c r="AD174" s="389"/>
      <c r="AE174" s="389"/>
      <c r="AF174" s="389">
        <f t="shared" si="26"/>
        <v>0</v>
      </c>
      <c r="AG174" s="389"/>
      <c r="AH174" s="389"/>
      <c r="AI174" s="389"/>
    </row>
    <row r="175" spans="2:35" ht="15" customHeight="1" hidden="1">
      <c r="B175" s="391"/>
      <c r="C175" s="391"/>
      <c r="D175" s="386"/>
      <c r="E175" s="387"/>
      <c r="F175" s="387"/>
      <c r="G175" s="391"/>
      <c r="H175" s="389"/>
      <c r="I175" s="389"/>
      <c r="J175" s="389"/>
      <c r="K175" s="389"/>
      <c r="L175" s="389"/>
      <c r="M175" s="389"/>
      <c r="N175" s="389"/>
      <c r="O175" s="389"/>
      <c r="P175" s="389"/>
      <c r="Q175" s="389"/>
      <c r="R175" s="389"/>
      <c r="S175" s="389"/>
      <c r="T175" s="389"/>
      <c r="U175" s="389"/>
      <c r="V175" s="389"/>
      <c r="W175" s="389"/>
      <c r="X175" s="389"/>
      <c r="Y175" s="389"/>
      <c r="Z175" s="389">
        <f t="shared" si="41"/>
        <v>0</v>
      </c>
      <c r="AA175" s="389"/>
      <c r="AB175" s="389"/>
      <c r="AC175" s="389"/>
      <c r="AD175" s="389"/>
      <c r="AE175" s="389"/>
      <c r="AF175" s="389">
        <f aca="true" t="shared" si="47" ref="AF175:AF238">+O175+P175+Q175+R175+S175</f>
        <v>0</v>
      </c>
      <c r="AG175" s="389"/>
      <c r="AH175" s="389"/>
      <c r="AI175" s="389"/>
    </row>
    <row r="176" spans="2:35" ht="15" customHeight="1" hidden="1">
      <c r="B176" s="391"/>
      <c r="C176" s="391"/>
      <c r="D176" s="386"/>
      <c r="E176" s="387"/>
      <c r="F176" s="387"/>
      <c r="G176" s="391"/>
      <c r="H176" s="389"/>
      <c r="I176" s="389"/>
      <c r="J176" s="389"/>
      <c r="K176" s="389"/>
      <c r="L176" s="389"/>
      <c r="M176" s="389"/>
      <c r="N176" s="389"/>
      <c r="O176" s="389"/>
      <c r="P176" s="389"/>
      <c r="Q176" s="389"/>
      <c r="R176" s="389"/>
      <c r="S176" s="389"/>
      <c r="T176" s="389"/>
      <c r="U176" s="389"/>
      <c r="V176" s="389"/>
      <c r="W176" s="389"/>
      <c r="X176" s="389"/>
      <c r="Y176" s="389"/>
      <c r="Z176" s="389">
        <f t="shared" si="41"/>
        <v>0</v>
      </c>
      <c r="AA176" s="389"/>
      <c r="AB176" s="389"/>
      <c r="AC176" s="389"/>
      <c r="AD176" s="389"/>
      <c r="AE176" s="389"/>
      <c r="AF176" s="389">
        <f t="shared" si="47"/>
        <v>0</v>
      </c>
      <c r="AG176" s="389"/>
      <c r="AH176" s="389"/>
      <c r="AI176" s="389"/>
    </row>
    <row r="177" spans="2:35" ht="15" customHeight="1" hidden="1">
      <c r="B177" s="391"/>
      <c r="C177" s="391"/>
      <c r="D177" s="386"/>
      <c r="E177" s="387"/>
      <c r="F177" s="387"/>
      <c r="G177" s="391"/>
      <c r="H177" s="389"/>
      <c r="I177" s="389"/>
      <c r="J177" s="389"/>
      <c r="K177" s="389"/>
      <c r="L177" s="389"/>
      <c r="M177" s="389"/>
      <c r="N177" s="389"/>
      <c r="O177" s="389"/>
      <c r="P177" s="389"/>
      <c r="Q177" s="389"/>
      <c r="R177" s="389"/>
      <c r="S177" s="389"/>
      <c r="T177" s="389"/>
      <c r="U177" s="389"/>
      <c r="V177" s="389"/>
      <c r="W177" s="389"/>
      <c r="X177" s="389"/>
      <c r="Y177" s="389"/>
      <c r="Z177" s="389">
        <f t="shared" si="41"/>
        <v>0</v>
      </c>
      <c r="AA177" s="389"/>
      <c r="AB177" s="389"/>
      <c r="AC177" s="389"/>
      <c r="AD177" s="389"/>
      <c r="AE177" s="389"/>
      <c r="AF177" s="389">
        <f t="shared" si="47"/>
        <v>0</v>
      </c>
      <c r="AG177" s="389"/>
      <c r="AH177" s="389"/>
      <c r="AI177" s="389"/>
    </row>
    <row r="178" spans="2:35" ht="15" customHeight="1" hidden="1">
      <c r="B178" s="391"/>
      <c r="C178" s="391"/>
      <c r="D178" s="386"/>
      <c r="E178" s="387"/>
      <c r="F178" s="387"/>
      <c r="G178" s="391"/>
      <c r="H178" s="389"/>
      <c r="I178" s="389"/>
      <c r="J178" s="389"/>
      <c r="K178" s="389"/>
      <c r="L178" s="389"/>
      <c r="M178" s="389"/>
      <c r="N178" s="389"/>
      <c r="O178" s="389"/>
      <c r="P178" s="389"/>
      <c r="Q178" s="389"/>
      <c r="R178" s="389"/>
      <c r="S178" s="389"/>
      <c r="T178" s="389"/>
      <c r="U178" s="389"/>
      <c r="V178" s="389"/>
      <c r="W178" s="389"/>
      <c r="X178" s="389"/>
      <c r="Y178" s="389"/>
      <c r="Z178" s="389">
        <f t="shared" si="41"/>
        <v>0</v>
      </c>
      <c r="AA178" s="389"/>
      <c r="AB178" s="389"/>
      <c r="AC178" s="389"/>
      <c r="AD178" s="389"/>
      <c r="AE178" s="389"/>
      <c r="AF178" s="389">
        <f t="shared" si="47"/>
        <v>0</v>
      </c>
      <c r="AG178" s="389"/>
      <c r="AH178" s="389"/>
      <c r="AI178" s="389"/>
    </row>
    <row r="179" spans="2:35" ht="15" customHeight="1" hidden="1">
      <c r="B179" s="391"/>
      <c r="C179" s="391"/>
      <c r="D179" s="386"/>
      <c r="E179" s="387"/>
      <c r="F179" s="387"/>
      <c r="G179" s="391"/>
      <c r="H179" s="389"/>
      <c r="I179" s="389"/>
      <c r="J179" s="389"/>
      <c r="K179" s="389"/>
      <c r="L179" s="389"/>
      <c r="M179" s="389"/>
      <c r="N179" s="389"/>
      <c r="O179" s="389"/>
      <c r="P179" s="389"/>
      <c r="Q179" s="389"/>
      <c r="R179" s="389"/>
      <c r="S179" s="389"/>
      <c r="T179" s="389"/>
      <c r="U179" s="389"/>
      <c r="V179" s="389"/>
      <c r="W179" s="389"/>
      <c r="X179" s="389"/>
      <c r="Y179" s="389"/>
      <c r="Z179" s="389">
        <f t="shared" si="41"/>
        <v>0</v>
      </c>
      <c r="AA179" s="389"/>
      <c r="AB179" s="389"/>
      <c r="AC179" s="389"/>
      <c r="AD179" s="389"/>
      <c r="AE179" s="389"/>
      <c r="AF179" s="389">
        <f t="shared" si="47"/>
        <v>0</v>
      </c>
      <c r="AG179" s="389"/>
      <c r="AH179" s="389"/>
      <c r="AI179" s="389"/>
    </row>
    <row r="180" spans="2:35" ht="15" customHeight="1" hidden="1">
      <c r="B180" s="391"/>
      <c r="C180" s="391"/>
      <c r="D180" s="386"/>
      <c r="E180" s="387"/>
      <c r="F180" s="387"/>
      <c r="G180" s="391"/>
      <c r="H180" s="389"/>
      <c r="I180" s="389"/>
      <c r="J180" s="389"/>
      <c r="K180" s="389"/>
      <c r="L180" s="389"/>
      <c r="M180" s="389"/>
      <c r="N180" s="389"/>
      <c r="O180" s="389"/>
      <c r="P180" s="389"/>
      <c r="Q180" s="389"/>
      <c r="R180" s="389"/>
      <c r="S180" s="389"/>
      <c r="T180" s="389"/>
      <c r="U180" s="389"/>
      <c r="V180" s="389"/>
      <c r="W180" s="389"/>
      <c r="X180" s="389"/>
      <c r="Y180" s="389"/>
      <c r="Z180" s="389">
        <f t="shared" si="41"/>
        <v>0</v>
      </c>
      <c r="AA180" s="389"/>
      <c r="AB180" s="389"/>
      <c r="AC180" s="389"/>
      <c r="AD180" s="389"/>
      <c r="AE180" s="389"/>
      <c r="AF180" s="389">
        <f t="shared" si="47"/>
        <v>0</v>
      </c>
      <c r="AG180" s="389"/>
      <c r="AH180" s="389"/>
      <c r="AI180" s="389"/>
    </row>
    <row r="181" spans="2:35" ht="30" customHeight="1" hidden="1">
      <c r="B181" s="381"/>
      <c r="C181" s="381"/>
      <c r="D181" s="381">
        <f>'[1]GASTOS MATRIZ'!C176</f>
        <v>846</v>
      </c>
      <c r="E181" s="390"/>
      <c r="F181" s="390"/>
      <c r="G181" s="403" t="str">
        <f>'[1]GASTOS MATRIZ'!F176</f>
        <v>Subsidio y Asistencia Social a Personas y Familias del Sector Privado</v>
      </c>
      <c r="H181" s="395">
        <f aca="true" t="shared" si="48" ref="H181:M181">SUM(H182:H184)</f>
        <v>0</v>
      </c>
      <c r="I181" s="395">
        <f t="shared" si="48"/>
        <v>0</v>
      </c>
      <c r="J181" s="395">
        <f t="shared" si="48"/>
        <v>0</v>
      </c>
      <c r="K181" s="395">
        <f t="shared" si="48"/>
        <v>0</v>
      </c>
      <c r="L181" s="395">
        <f t="shared" si="48"/>
        <v>0</v>
      </c>
      <c r="M181" s="395">
        <f t="shared" si="48"/>
        <v>0</v>
      </c>
      <c r="N181" s="395"/>
      <c r="O181" s="395">
        <f>SUM(E181:J181)</f>
        <v>0</v>
      </c>
      <c r="P181" s="395"/>
      <c r="Q181" s="395"/>
      <c r="R181" s="395"/>
      <c r="S181" s="395"/>
      <c r="T181" s="395">
        <f>SUM(K181:P181)</f>
        <v>0</v>
      </c>
      <c r="U181" s="395">
        <f>SUM(U182:U184)</f>
        <v>0</v>
      </c>
      <c r="V181" s="395">
        <f>SUM(V182:V184)</f>
        <v>0</v>
      </c>
      <c r="W181" s="395">
        <f>SUM(W182:W184)</f>
        <v>0</v>
      </c>
      <c r="X181" s="395">
        <f>SUM(X182:X184)</f>
        <v>0</v>
      </c>
      <c r="Y181" s="395">
        <f>SUM(U181:X181)</f>
        <v>0</v>
      </c>
      <c r="Z181" s="395">
        <f t="shared" si="41"/>
        <v>0</v>
      </c>
      <c r="AA181" s="395">
        <f>SUM(AA182:AA184)</f>
        <v>0</v>
      </c>
      <c r="AB181" s="395">
        <f>SUM(AB182:AB184)</f>
        <v>0</v>
      </c>
      <c r="AC181" s="395">
        <f>SUM(AC182:AC184)</f>
        <v>0</v>
      </c>
      <c r="AD181" s="395">
        <f>SUM(AD182:AD184)</f>
        <v>0</v>
      </c>
      <c r="AE181" s="395">
        <f>SUM(AA181:AD181)</f>
        <v>0</v>
      </c>
      <c r="AF181" s="395">
        <f t="shared" si="47"/>
        <v>0</v>
      </c>
      <c r="AG181" s="395">
        <f>SUM(AG182:AG184)</f>
        <v>0</v>
      </c>
      <c r="AH181" s="395">
        <f>SUM(AH182:AH184)</f>
        <v>0</v>
      </c>
      <c r="AI181" s="395">
        <f>SUM(AI182:AI184)</f>
        <v>0</v>
      </c>
    </row>
    <row r="182" spans="2:35" ht="15" customHeight="1" hidden="1">
      <c r="B182" s="391"/>
      <c r="C182" s="391"/>
      <c r="D182" s="386"/>
      <c r="E182" s="387"/>
      <c r="F182" s="387"/>
      <c r="G182" s="391"/>
      <c r="H182" s="389"/>
      <c r="I182" s="389"/>
      <c r="J182" s="389"/>
      <c r="K182" s="389"/>
      <c r="L182" s="389"/>
      <c r="M182" s="389"/>
      <c r="N182" s="389"/>
      <c r="O182" s="389"/>
      <c r="P182" s="389"/>
      <c r="Q182" s="389"/>
      <c r="R182" s="389"/>
      <c r="S182" s="389"/>
      <c r="T182" s="389"/>
      <c r="U182" s="389"/>
      <c r="V182" s="389"/>
      <c r="W182" s="389"/>
      <c r="X182" s="389"/>
      <c r="Y182" s="389"/>
      <c r="Z182" s="389">
        <f t="shared" si="41"/>
        <v>0</v>
      </c>
      <c r="AA182" s="389"/>
      <c r="AB182" s="389"/>
      <c r="AC182" s="389"/>
      <c r="AD182" s="389"/>
      <c r="AE182" s="389"/>
      <c r="AF182" s="389">
        <f t="shared" si="47"/>
        <v>0</v>
      </c>
      <c r="AG182" s="389"/>
      <c r="AH182" s="389"/>
      <c r="AI182" s="389"/>
    </row>
    <row r="183" spans="2:35" ht="15" customHeight="1" hidden="1">
      <c r="B183" s="391"/>
      <c r="C183" s="391"/>
      <c r="D183" s="386"/>
      <c r="E183" s="387"/>
      <c r="F183" s="387"/>
      <c r="G183" s="391"/>
      <c r="H183" s="389"/>
      <c r="I183" s="389"/>
      <c r="J183" s="389"/>
      <c r="K183" s="389"/>
      <c r="L183" s="389"/>
      <c r="M183" s="389"/>
      <c r="N183" s="389"/>
      <c r="O183" s="389"/>
      <c r="P183" s="389"/>
      <c r="Q183" s="389"/>
      <c r="R183" s="389"/>
      <c r="S183" s="389"/>
      <c r="T183" s="389"/>
      <c r="U183" s="389"/>
      <c r="V183" s="389"/>
      <c r="W183" s="389"/>
      <c r="X183" s="389"/>
      <c r="Y183" s="389"/>
      <c r="Z183" s="389">
        <f t="shared" si="41"/>
        <v>0</v>
      </c>
      <c r="AA183" s="389"/>
      <c r="AB183" s="389"/>
      <c r="AC183" s="389"/>
      <c r="AD183" s="389"/>
      <c r="AE183" s="389"/>
      <c r="AF183" s="389">
        <f t="shared" si="47"/>
        <v>0</v>
      </c>
      <c r="AG183" s="389"/>
      <c r="AH183" s="389"/>
      <c r="AI183" s="389"/>
    </row>
    <row r="184" spans="2:35" ht="15" customHeight="1" hidden="1">
      <c r="B184" s="391"/>
      <c r="C184" s="391"/>
      <c r="D184" s="386"/>
      <c r="E184" s="387"/>
      <c r="F184" s="387"/>
      <c r="G184" s="391"/>
      <c r="H184" s="389"/>
      <c r="I184" s="389"/>
      <c r="J184" s="389"/>
      <c r="K184" s="389"/>
      <c r="L184" s="389"/>
      <c r="M184" s="389"/>
      <c r="N184" s="389"/>
      <c r="O184" s="389"/>
      <c r="P184" s="389"/>
      <c r="Q184" s="389"/>
      <c r="R184" s="389"/>
      <c r="S184" s="389"/>
      <c r="T184" s="389"/>
      <c r="U184" s="389"/>
      <c r="V184" s="389"/>
      <c r="W184" s="389"/>
      <c r="X184" s="389"/>
      <c r="Y184" s="389"/>
      <c r="Z184" s="389">
        <f t="shared" si="41"/>
        <v>0</v>
      </c>
      <c r="AA184" s="389"/>
      <c r="AB184" s="389"/>
      <c r="AC184" s="389"/>
      <c r="AD184" s="389"/>
      <c r="AE184" s="389"/>
      <c r="AF184" s="389">
        <f t="shared" si="47"/>
        <v>0</v>
      </c>
      <c r="AG184" s="389"/>
      <c r="AH184" s="389"/>
      <c r="AI184" s="389"/>
    </row>
    <row r="185" spans="2:35" ht="15" customHeight="1" hidden="1">
      <c r="B185" s="391"/>
      <c r="C185" s="391"/>
      <c r="D185" s="386"/>
      <c r="E185" s="387"/>
      <c r="F185" s="387"/>
      <c r="G185" s="391"/>
      <c r="H185" s="389"/>
      <c r="I185" s="389"/>
      <c r="J185" s="389"/>
      <c r="K185" s="389"/>
      <c r="L185" s="389"/>
      <c r="M185" s="389"/>
      <c r="N185" s="389"/>
      <c r="O185" s="389"/>
      <c r="P185" s="389"/>
      <c r="Q185" s="389"/>
      <c r="R185" s="389"/>
      <c r="S185" s="389"/>
      <c r="T185" s="389"/>
      <c r="U185" s="389"/>
      <c r="V185" s="389"/>
      <c r="W185" s="389"/>
      <c r="X185" s="389"/>
      <c r="Y185" s="389"/>
      <c r="Z185" s="389">
        <f t="shared" si="41"/>
        <v>0</v>
      </c>
      <c r="AA185" s="389"/>
      <c r="AB185" s="389"/>
      <c r="AC185" s="389"/>
      <c r="AD185" s="389"/>
      <c r="AE185" s="389"/>
      <c r="AF185" s="389">
        <f t="shared" si="47"/>
        <v>0</v>
      </c>
      <c r="AG185" s="389"/>
      <c r="AH185" s="389"/>
      <c r="AI185" s="389"/>
    </row>
    <row r="186" spans="2:35" ht="30" customHeight="1" hidden="1">
      <c r="B186" s="381"/>
      <c r="C186" s="381"/>
      <c r="D186" s="381">
        <f>'[1]GASTOS MATRIZ'!C181</f>
        <v>848</v>
      </c>
      <c r="E186" s="390"/>
      <c r="F186" s="390"/>
      <c r="G186" s="403" t="str">
        <f>'[1]GASTOS MATRIZ'!F181</f>
        <v>Transferencias para Complemento Nutricional en  las Escuelas Públicas</v>
      </c>
      <c r="H186" s="395">
        <f aca="true" t="shared" si="49" ref="H186:M186">H187</f>
        <v>0</v>
      </c>
      <c r="I186" s="395">
        <f t="shared" si="49"/>
        <v>0</v>
      </c>
      <c r="J186" s="395">
        <f t="shared" si="49"/>
        <v>0</v>
      </c>
      <c r="K186" s="395">
        <f t="shared" si="49"/>
        <v>0</v>
      </c>
      <c r="L186" s="395">
        <f t="shared" si="49"/>
        <v>0</v>
      </c>
      <c r="M186" s="395">
        <f t="shared" si="49"/>
        <v>0</v>
      </c>
      <c r="N186" s="395"/>
      <c r="O186" s="395">
        <f>SUM(E186:J186)</f>
        <v>0</v>
      </c>
      <c r="P186" s="395"/>
      <c r="Q186" s="395"/>
      <c r="R186" s="395"/>
      <c r="S186" s="395"/>
      <c r="T186" s="395">
        <f>SUM(K186:P186)</f>
        <v>0</v>
      </c>
      <c r="U186" s="395">
        <f>U187</f>
        <v>0</v>
      </c>
      <c r="V186" s="395">
        <f>V187</f>
        <v>0</v>
      </c>
      <c r="W186" s="395">
        <f>W187</f>
        <v>0</v>
      </c>
      <c r="X186" s="395">
        <f>X187</f>
        <v>0</v>
      </c>
      <c r="Y186" s="395">
        <f>SUM(U186:X186)</f>
        <v>0</v>
      </c>
      <c r="Z186" s="395">
        <f t="shared" si="41"/>
        <v>0</v>
      </c>
      <c r="AA186" s="395">
        <f>AA187</f>
        <v>0</v>
      </c>
      <c r="AB186" s="395">
        <f>AB187</f>
        <v>0</v>
      </c>
      <c r="AC186" s="395">
        <f>AC187</f>
        <v>0</v>
      </c>
      <c r="AD186" s="395">
        <f>AD187</f>
        <v>0</v>
      </c>
      <c r="AE186" s="395">
        <f>SUM(AA186:AD186)</f>
        <v>0</v>
      </c>
      <c r="AF186" s="395">
        <f t="shared" si="47"/>
        <v>0</v>
      </c>
      <c r="AG186" s="395">
        <f>AG187</f>
        <v>0</v>
      </c>
      <c r="AH186" s="395">
        <f>AH187</f>
        <v>0</v>
      </c>
      <c r="AI186" s="395">
        <f>AI187</f>
        <v>0</v>
      </c>
    </row>
    <row r="187" spans="2:35" ht="15" customHeight="1" hidden="1">
      <c r="B187" s="391"/>
      <c r="C187" s="391"/>
      <c r="D187" s="386"/>
      <c r="E187" s="387"/>
      <c r="F187" s="387"/>
      <c r="G187" s="391"/>
      <c r="H187" s="389"/>
      <c r="I187" s="389"/>
      <c r="J187" s="389"/>
      <c r="K187" s="389"/>
      <c r="L187" s="389"/>
      <c r="M187" s="389"/>
      <c r="N187" s="389"/>
      <c r="O187" s="389"/>
      <c r="P187" s="389"/>
      <c r="Q187" s="389"/>
      <c r="R187" s="389"/>
      <c r="S187" s="389"/>
      <c r="T187" s="389"/>
      <c r="U187" s="389"/>
      <c r="V187" s="389"/>
      <c r="W187" s="389"/>
      <c r="X187" s="389"/>
      <c r="Y187" s="389"/>
      <c r="Z187" s="389">
        <f t="shared" si="41"/>
        <v>0</v>
      </c>
      <c r="AA187" s="389"/>
      <c r="AB187" s="389"/>
      <c r="AC187" s="389"/>
      <c r="AD187" s="389"/>
      <c r="AE187" s="389"/>
      <c r="AF187" s="389">
        <f t="shared" si="47"/>
        <v>0</v>
      </c>
      <c r="AG187" s="389"/>
      <c r="AH187" s="389"/>
      <c r="AI187" s="389"/>
    </row>
    <row r="188" spans="2:35" ht="15" customHeight="1" hidden="1">
      <c r="B188" s="391"/>
      <c r="C188" s="391"/>
      <c r="D188" s="386"/>
      <c r="E188" s="387"/>
      <c r="F188" s="387"/>
      <c r="G188" s="391"/>
      <c r="H188" s="389"/>
      <c r="I188" s="389"/>
      <c r="J188" s="389"/>
      <c r="K188" s="389"/>
      <c r="L188" s="389"/>
      <c r="M188" s="389"/>
      <c r="N188" s="389"/>
      <c r="O188" s="389"/>
      <c r="P188" s="389"/>
      <c r="Q188" s="389"/>
      <c r="R188" s="389"/>
      <c r="S188" s="389"/>
      <c r="T188" s="389"/>
      <c r="U188" s="389"/>
      <c r="V188" s="389"/>
      <c r="W188" s="389"/>
      <c r="X188" s="389"/>
      <c r="Y188" s="389"/>
      <c r="Z188" s="389">
        <f t="shared" si="41"/>
        <v>0</v>
      </c>
      <c r="AA188" s="389"/>
      <c r="AB188" s="389"/>
      <c r="AC188" s="389"/>
      <c r="AD188" s="389"/>
      <c r="AE188" s="389"/>
      <c r="AF188" s="389">
        <f t="shared" si="47"/>
        <v>0</v>
      </c>
      <c r="AG188" s="389"/>
      <c r="AH188" s="389"/>
      <c r="AI188" s="389"/>
    </row>
    <row r="189" spans="2:35" ht="15" customHeight="1" hidden="1">
      <c r="B189" s="381">
        <f>'[1]GASTOS MATRIZ'!A185</f>
        <v>900</v>
      </c>
      <c r="C189" s="381"/>
      <c r="D189" s="381"/>
      <c r="E189" s="390"/>
      <c r="F189" s="390"/>
      <c r="G189" s="383" t="str">
        <f>'[1]GASTOS MATRIZ'!F185</f>
        <v>OTROS GASTOS</v>
      </c>
      <c r="H189" s="382">
        <f aca="true" t="shared" si="50" ref="H189:M189">H190+H194+H197+H201</f>
        <v>0</v>
      </c>
      <c r="I189" s="382">
        <f t="shared" si="50"/>
        <v>0</v>
      </c>
      <c r="J189" s="382">
        <f t="shared" si="50"/>
        <v>0</v>
      </c>
      <c r="K189" s="382">
        <f t="shared" si="50"/>
        <v>0</v>
      </c>
      <c r="L189" s="382">
        <f t="shared" si="50"/>
        <v>0</v>
      </c>
      <c r="M189" s="382">
        <f t="shared" si="50"/>
        <v>0</v>
      </c>
      <c r="N189" s="382"/>
      <c r="O189" s="382">
        <f>SUM(E189:J189)</f>
        <v>0</v>
      </c>
      <c r="P189" s="382"/>
      <c r="Q189" s="382"/>
      <c r="R189" s="382"/>
      <c r="S189" s="382"/>
      <c r="T189" s="382">
        <f>SUM(K189:P189)</f>
        <v>0</v>
      </c>
      <c r="U189" s="382">
        <f>U190+U194+U197+U201</f>
        <v>0</v>
      </c>
      <c r="V189" s="382">
        <f>V190+V194+V197+V201</f>
        <v>0</v>
      </c>
      <c r="W189" s="382">
        <f>W190+W194+W197+W201</f>
        <v>0</v>
      </c>
      <c r="X189" s="382">
        <f>X190+X194+X197+X201</f>
        <v>0</v>
      </c>
      <c r="Y189" s="382">
        <f>SUM(U189:X189)</f>
        <v>0</v>
      </c>
      <c r="Z189" s="382">
        <f t="shared" si="41"/>
        <v>0</v>
      </c>
      <c r="AA189" s="382">
        <f>AA190+AA194+AA197+AA201</f>
        <v>0</v>
      </c>
      <c r="AB189" s="382">
        <f>AB190+AB194+AB197+AB201</f>
        <v>0</v>
      </c>
      <c r="AC189" s="382">
        <f>AC190+AC194+AC197+AC201</f>
        <v>0</v>
      </c>
      <c r="AD189" s="382">
        <f>AD190+AD194+AD197+AD201</f>
        <v>0</v>
      </c>
      <c r="AE189" s="382">
        <f>SUM(AA189:AD189)</f>
        <v>0</v>
      </c>
      <c r="AF189" s="382">
        <f t="shared" si="47"/>
        <v>0</v>
      </c>
      <c r="AG189" s="382">
        <f>AG190+AG194+AG197+AG201</f>
        <v>0</v>
      </c>
      <c r="AH189" s="382">
        <f>AH190+AH194+AH197+AH201</f>
        <v>0</v>
      </c>
      <c r="AI189" s="382">
        <f>AI190+AI194+AI197+AI201</f>
        <v>0</v>
      </c>
    </row>
    <row r="190" spans="2:35" ht="15" customHeight="1" hidden="1">
      <c r="B190" s="383"/>
      <c r="C190" s="383">
        <f>'[1]GASTOS MATRIZ'!B186</f>
        <v>910</v>
      </c>
      <c r="D190" s="381"/>
      <c r="E190" s="390"/>
      <c r="F190" s="390"/>
      <c r="G190" s="383" t="str">
        <f>'[1]GASTOS MATRIZ'!F186</f>
        <v>Pagos de Imp. Tasas y Gastos Judicial.</v>
      </c>
      <c r="H190" s="382">
        <f aca="true" t="shared" si="51" ref="H190:M190">SUM(H191:H193)</f>
        <v>0</v>
      </c>
      <c r="I190" s="382">
        <f t="shared" si="51"/>
        <v>0</v>
      </c>
      <c r="J190" s="382">
        <f t="shared" si="51"/>
        <v>0</v>
      </c>
      <c r="K190" s="382">
        <f t="shared" si="51"/>
        <v>0</v>
      </c>
      <c r="L190" s="382">
        <f t="shared" si="51"/>
        <v>0</v>
      </c>
      <c r="M190" s="382">
        <f t="shared" si="51"/>
        <v>0</v>
      </c>
      <c r="N190" s="382"/>
      <c r="O190" s="382">
        <f>SUM(E190:J190)</f>
        <v>0</v>
      </c>
      <c r="P190" s="382"/>
      <c r="Q190" s="382"/>
      <c r="R190" s="382"/>
      <c r="S190" s="382"/>
      <c r="T190" s="382">
        <f>SUM(K190:P190)</f>
        <v>0</v>
      </c>
      <c r="U190" s="382">
        <f>SUM(U191:U193)</f>
        <v>0</v>
      </c>
      <c r="V190" s="382">
        <f>SUM(V191:V193)</f>
        <v>0</v>
      </c>
      <c r="W190" s="382">
        <f>SUM(W191:W193)</f>
        <v>0</v>
      </c>
      <c r="X190" s="382">
        <f>SUM(X191:X193)</f>
        <v>0</v>
      </c>
      <c r="Y190" s="382">
        <f>SUM(U190:X190)</f>
        <v>0</v>
      </c>
      <c r="Z190" s="382">
        <f t="shared" si="41"/>
        <v>0</v>
      </c>
      <c r="AA190" s="382">
        <f>SUM(AA191:AA193)</f>
        <v>0</v>
      </c>
      <c r="AB190" s="382">
        <f>SUM(AB191:AB193)</f>
        <v>0</v>
      </c>
      <c r="AC190" s="382">
        <f>SUM(AC191:AC193)</f>
        <v>0</v>
      </c>
      <c r="AD190" s="382">
        <f>SUM(AD191:AD193)</f>
        <v>0</v>
      </c>
      <c r="AE190" s="382">
        <f>SUM(AA190:AD190)</f>
        <v>0</v>
      </c>
      <c r="AF190" s="382">
        <f t="shared" si="47"/>
        <v>0</v>
      </c>
      <c r="AG190" s="382">
        <f>SUM(AG191:AG193)</f>
        <v>0</v>
      </c>
      <c r="AH190" s="382">
        <f>SUM(AH191:AH193)</f>
        <v>0</v>
      </c>
      <c r="AI190" s="382">
        <f>SUM(AI191:AI193)</f>
        <v>0</v>
      </c>
    </row>
    <row r="191" spans="2:35" ht="15" customHeight="1" hidden="1">
      <c r="B191" s="391"/>
      <c r="C191" s="391"/>
      <c r="D191" s="386">
        <f>'[1]GASTOS MATRIZ'!C187</f>
        <v>910</v>
      </c>
      <c r="E191" s="387" t="str">
        <f>'[1]GASTOS MATRIZ'!D187</f>
        <v>30</v>
      </c>
      <c r="F191" s="387" t="str">
        <f>'[1]GASTOS MATRIZ'!E187</f>
        <v>011</v>
      </c>
      <c r="G191" s="391" t="str">
        <f>'[1]GASTOS MATRIZ'!F187</f>
        <v>Pagos de Impuestos, Tasas y Gastos Judiciales</v>
      </c>
      <c r="H191" s="389">
        <f>'[1]GASTOS MATRIZ'!G187</f>
        <v>0</v>
      </c>
      <c r="I191" s="389">
        <f>'[1]GASTOS MATRIZ'!H187</f>
        <v>0</v>
      </c>
      <c r="J191" s="389">
        <f>H191+I191</f>
        <v>0</v>
      </c>
      <c r="K191" s="389">
        <f>'[1]RESU X MES'!H177</f>
        <v>0</v>
      </c>
      <c r="L191" s="389">
        <f>'[1]RESU X MES'!H435</f>
        <v>0</v>
      </c>
      <c r="M191" s="389">
        <f>'[1]RESU X MES'!H694</f>
        <v>0</v>
      </c>
      <c r="N191" s="389"/>
      <c r="O191" s="389">
        <f>SUM(E191:J191)</f>
        <v>0</v>
      </c>
      <c r="P191" s="389"/>
      <c r="Q191" s="389"/>
      <c r="R191" s="389"/>
      <c r="S191" s="389"/>
      <c r="T191" s="389">
        <f>SUM(K191:P191)</f>
        <v>0</v>
      </c>
      <c r="U191" s="389">
        <f>'[1]RESU X MES'!H1218</f>
        <v>0</v>
      </c>
      <c r="V191" s="389">
        <f>'[1]RESU X MES'!H1480</f>
        <v>0</v>
      </c>
      <c r="W191" s="389">
        <f>'[1]RESU X MES'!H1743</f>
        <v>0</v>
      </c>
      <c r="X191" s="389">
        <f>'[1]RESU X MES'!H2004</f>
        <v>0</v>
      </c>
      <c r="Y191" s="389">
        <f>SUM(U191:X191)</f>
        <v>0</v>
      </c>
      <c r="Z191" s="389">
        <f t="shared" si="41"/>
        <v>0</v>
      </c>
      <c r="AA191" s="389">
        <f>'[1]RESU X MES'!H2263</f>
        <v>0</v>
      </c>
      <c r="AB191" s="389">
        <f>'[1]RESU X MES'!H2525</f>
        <v>0</v>
      </c>
      <c r="AC191" s="389">
        <f>'[1]RESU X MES'!H2787</f>
        <v>0</v>
      </c>
      <c r="AD191" s="389">
        <f>'[1]RESU X MES'!H3051</f>
        <v>0</v>
      </c>
      <c r="AE191" s="389">
        <f>SUM(AA191:AD191)</f>
        <v>0</v>
      </c>
      <c r="AF191" s="389">
        <f t="shared" si="47"/>
        <v>0</v>
      </c>
      <c r="AG191" s="389">
        <f>J191-AF191</f>
        <v>0</v>
      </c>
      <c r="AH191" s="389">
        <f>AF191-AI191</f>
        <v>0</v>
      </c>
      <c r="AI191" s="389">
        <f>'[1]RESU X MES'!N177+'[1]RESU X MES'!N435+'[1]RESU X MES'!N694+'[1]RESU X MES'!N957+'[1]RESU X MES'!N1218+'[1]RESU X MES'!N1480+'[1]RESU X MES'!N1743+'[1]RESU X MES'!N2004+'[1]RESU X MES'!N2263+'[1]RESU X MES'!N2525+'[1]RESU X MES'!N2787+'[1]RESU X MES'!N3051</f>
        <v>0</v>
      </c>
    </row>
    <row r="192" spans="2:35" ht="15" customHeight="1" hidden="1">
      <c r="B192" s="391"/>
      <c r="C192" s="391"/>
      <c r="D192" s="386"/>
      <c r="E192" s="387"/>
      <c r="F192" s="387"/>
      <c r="G192" s="391"/>
      <c r="H192" s="389"/>
      <c r="I192" s="389"/>
      <c r="J192" s="389"/>
      <c r="K192" s="389"/>
      <c r="L192" s="389"/>
      <c r="M192" s="389"/>
      <c r="N192" s="389"/>
      <c r="O192" s="389"/>
      <c r="P192" s="389"/>
      <c r="Q192" s="389"/>
      <c r="R192" s="389"/>
      <c r="S192" s="389"/>
      <c r="T192" s="389"/>
      <c r="U192" s="389"/>
      <c r="V192" s="389"/>
      <c r="W192" s="389"/>
      <c r="X192" s="389"/>
      <c r="Y192" s="389"/>
      <c r="Z192" s="389">
        <f t="shared" si="41"/>
        <v>0</v>
      </c>
      <c r="AA192" s="389"/>
      <c r="AB192" s="389"/>
      <c r="AC192" s="389"/>
      <c r="AD192" s="389"/>
      <c r="AE192" s="389"/>
      <c r="AF192" s="389">
        <f t="shared" si="47"/>
        <v>0</v>
      </c>
      <c r="AG192" s="389"/>
      <c r="AH192" s="389"/>
      <c r="AI192" s="389"/>
    </row>
    <row r="193" spans="2:35" ht="15" customHeight="1" hidden="1">
      <c r="B193" s="391"/>
      <c r="C193" s="391"/>
      <c r="D193" s="386"/>
      <c r="E193" s="387"/>
      <c r="F193" s="387"/>
      <c r="G193" s="391"/>
      <c r="H193" s="389"/>
      <c r="I193" s="389"/>
      <c r="J193" s="389"/>
      <c r="K193" s="389"/>
      <c r="L193" s="389"/>
      <c r="M193" s="389"/>
      <c r="N193" s="389"/>
      <c r="O193" s="389"/>
      <c r="P193" s="389"/>
      <c r="Q193" s="389"/>
      <c r="R193" s="389"/>
      <c r="S193" s="389"/>
      <c r="T193" s="389"/>
      <c r="U193" s="389"/>
      <c r="V193" s="389"/>
      <c r="W193" s="389"/>
      <c r="X193" s="389"/>
      <c r="Y193" s="389"/>
      <c r="Z193" s="389">
        <f t="shared" si="41"/>
        <v>0</v>
      </c>
      <c r="AA193" s="389"/>
      <c r="AB193" s="389"/>
      <c r="AC193" s="389"/>
      <c r="AD193" s="389"/>
      <c r="AE193" s="389"/>
      <c r="AF193" s="389">
        <f t="shared" si="47"/>
        <v>0</v>
      </c>
      <c r="AG193" s="389"/>
      <c r="AH193" s="389"/>
      <c r="AI193" s="389"/>
    </row>
    <row r="194" spans="2:35" ht="15" customHeight="1" hidden="1">
      <c r="B194" s="383"/>
      <c r="C194" s="383">
        <f>'[1]GASTOS MATRIZ'!B190</f>
        <v>920</v>
      </c>
      <c r="D194" s="381"/>
      <c r="E194" s="390"/>
      <c r="F194" s="390"/>
      <c r="G194" s="383" t="str">
        <f>'[1]GASTOS MATRIZ'!F190</f>
        <v>Devol. de Imp. y otros Ing. no Tributario</v>
      </c>
      <c r="H194" s="382">
        <f aca="true" t="shared" si="52" ref="H194:M194">H195</f>
        <v>0</v>
      </c>
      <c r="I194" s="382">
        <f t="shared" si="52"/>
        <v>0</v>
      </c>
      <c r="J194" s="382">
        <f t="shared" si="52"/>
        <v>0</v>
      </c>
      <c r="K194" s="382">
        <f t="shared" si="52"/>
        <v>0</v>
      </c>
      <c r="L194" s="382">
        <f t="shared" si="52"/>
        <v>0</v>
      </c>
      <c r="M194" s="382">
        <f t="shared" si="52"/>
        <v>0</v>
      </c>
      <c r="N194" s="382"/>
      <c r="O194" s="382">
        <f>SUM(E194:J194)</f>
        <v>0</v>
      </c>
      <c r="P194" s="382"/>
      <c r="Q194" s="382"/>
      <c r="R194" s="382"/>
      <c r="S194" s="382"/>
      <c r="T194" s="382">
        <f>SUM(K194:P194)</f>
        <v>0</v>
      </c>
      <c r="U194" s="382">
        <f>U195</f>
        <v>0</v>
      </c>
      <c r="V194" s="382">
        <f>V195</f>
        <v>0</v>
      </c>
      <c r="W194" s="382">
        <f>W195</f>
        <v>0</v>
      </c>
      <c r="X194" s="382">
        <f>X195</f>
        <v>0</v>
      </c>
      <c r="Y194" s="382">
        <f>SUM(U194:X194)</f>
        <v>0</v>
      </c>
      <c r="Z194" s="382">
        <f t="shared" si="41"/>
        <v>0</v>
      </c>
      <c r="AA194" s="382">
        <f>AA195</f>
        <v>0</v>
      </c>
      <c r="AB194" s="382">
        <f>AB195</f>
        <v>0</v>
      </c>
      <c r="AC194" s="382">
        <f>AC195</f>
        <v>0</v>
      </c>
      <c r="AD194" s="382">
        <f>AD195</f>
        <v>0</v>
      </c>
      <c r="AE194" s="382">
        <f>SUM(AA194:AD194)</f>
        <v>0</v>
      </c>
      <c r="AF194" s="382">
        <f t="shared" si="47"/>
        <v>0</v>
      </c>
      <c r="AG194" s="382">
        <f>AG195</f>
        <v>0</v>
      </c>
      <c r="AH194" s="382">
        <f>AH195</f>
        <v>0</v>
      </c>
      <c r="AI194" s="382">
        <f>AI195</f>
        <v>0</v>
      </c>
    </row>
    <row r="195" spans="2:35" ht="15" customHeight="1" hidden="1">
      <c r="B195" s="391"/>
      <c r="C195" s="391"/>
      <c r="D195" s="386"/>
      <c r="E195" s="387"/>
      <c r="F195" s="387"/>
      <c r="G195" s="391"/>
      <c r="H195" s="389"/>
      <c r="I195" s="389"/>
      <c r="J195" s="389"/>
      <c r="K195" s="389"/>
      <c r="L195" s="389"/>
      <c r="M195" s="389"/>
      <c r="N195" s="389"/>
      <c r="O195" s="389"/>
      <c r="P195" s="389"/>
      <c r="Q195" s="389"/>
      <c r="R195" s="389"/>
      <c r="S195" s="389"/>
      <c r="T195" s="389"/>
      <c r="U195" s="389"/>
      <c r="V195" s="389"/>
      <c r="W195" s="389"/>
      <c r="X195" s="389"/>
      <c r="Y195" s="389"/>
      <c r="Z195" s="389">
        <f t="shared" si="41"/>
        <v>0</v>
      </c>
      <c r="AA195" s="389"/>
      <c r="AB195" s="389"/>
      <c r="AC195" s="389"/>
      <c r="AD195" s="389"/>
      <c r="AE195" s="389"/>
      <c r="AF195" s="389">
        <f t="shared" si="47"/>
        <v>0</v>
      </c>
      <c r="AG195" s="389"/>
      <c r="AH195" s="389"/>
      <c r="AI195" s="389"/>
    </row>
    <row r="196" spans="2:35" ht="15" customHeight="1" hidden="1">
      <c r="B196" s="391"/>
      <c r="C196" s="391"/>
      <c r="D196" s="386"/>
      <c r="E196" s="387"/>
      <c r="F196" s="387"/>
      <c r="G196" s="391"/>
      <c r="H196" s="389"/>
      <c r="I196" s="389"/>
      <c r="J196" s="389"/>
      <c r="K196" s="389"/>
      <c r="L196" s="389"/>
      <c r="M196" s="389"/>
      <c r="N196" s="389"/>
      <c r="O196" s="389"/>
      <c r="P196" s="389"/>
      <c r="Q196" s="389"/>
      <c r="R196" s="389"/>
      <c r="S196" s="389"/>
      <c r="T196" s="389"/>
      <c r="U196" s="389"/>
      <c r="V196" s="389"/>
      <c r="W196" s="389"/>
      <c r="X196" s="389"/>
      <c r="Y196" s="389"/>
      <c r="Z196" s="389">
        <f t="shared" si="41"/>
        <v>0</v>
      </c>
      <c r="AA196" s="389"/>
      <c r="AB196" s="389"/>
      <c r="AC196" s="389"/>
      <c r="AD196" s="389"/>
      <c r="AE196" s="389"/>
      <c r="AF196" s="389">
        <f t="shared" si="47"/>
        <v>0</v>
      </c>
      <c r="AG196" s="389"/>
      <c r="AH196" s="389"/>
      <c r="AI196" s="389"/>
    </row>
    <row r="197" spans="2:35" ht="15" customHeight="1" hidden="1">
      <c r="B197" s="383"/>
      <c r="C197" s="383">
        <f>'[1]GASTOS MATRIZ'!B193</f>
        <v>960</v>
      </c>
      <c r="D197" s="381"/>
      <c r="E197" s="390"/>
      <c r="F197" s="390"/>
      <c r="G197" s="383" t="str">
        <f>'[1]GASTOS MATRIZ'!F193</f>
        <v>Deudas Pend.de Pago de Ejerc. Anterior</v>
      </c>
      <c r="H197" s="382">
        <f aca="true" t="shared" si="53" ref="H197:M197">SUM(H198:H200)</f>
        <v>0</v>
      </c>
      <c r="I197" s="382">
        <f t="shared" si="53"/>
        <v>0</v>
      </c>
      <c r="J197" s="382">
        <f t="shared" si="53"/>
        <v>0</v>
      </c>
      <c r="K197" s="382">
        <f t="shared" si="53"/>
        <v>0</v>
      </c>
      <c r="L197" s="382">
        <f t="shared" si="53"/>
        <v>0</v>
      </c>
      <c r="M197" s="382">
        <f t="shared" si="53"/>
        <v>0</v>
      </c>
      <c r="N197" s="382"/>
      <c r="O197" s="382">
        <f>SUM(E197:J197)</f>
        <v>0</v>
      </c>
      <c r="P197" s="382"/>
      <c r="Q197" s="382"/>
      <c r="R197" s="382"/>
      <c r="S197" s="382"/>
      <c r="T197" s="382">
        <f>SUM(K197:P197)</f>
        <v>0</v>
      </c>
      <c r="U197" s="382">
        <f>SUM(U198:U200)</f>
        <v>0</v>
      </c>
      <c r="V197" s="382">
        <f>SUM(V198:V200)</f>
        <v>0</v>
      </c>
      <c r="W197" s="382">
        <f>SUM(W198:W200)</f>
        <v>0</v>
      </c>
      <c r="X197" s="382">
        <f>SUM(X198:X200)</f>
        <v>0</v>
      </c>
      <c r="Y197" s="382">
        <f>SUM(U197:X197)</f>
        <v>0</v>
      </c>
      <c r="Z197" s="382">
        <f t="shared" si="41"/>
        <v>0</v>
      </c>
      <c r="AA197" s="382">
        <f>SUM(AA198:AA200)</f>
        <v>0</v>
      </c>
      <c r="AB197" s="382">
        <f>SUM(AB198:AB200)</f>
        <v>0</v>
      </c>
      <c r="AC197" s="382">
        <f>SUM(AC198:AC200)</f>
        <v>0</v>
      </c>
      <c r="AD197" s="382">
        <f>SUM(AD198:AD200)</f>
        <v>0</v>
      </c>
      <c r="AE197" s="382">
        <f>SUM(AA197:AD197)</f>
        <v>0</v>
      </c>
      <c r="AF197" s="382">
        <f t="shared" si="47"/>
        <v>0</v>
      </c>
      <c r="AG197" s="382">
        <f>SUM(AG198:AG200)</f>
        <v>0</v>
      </c>
      <c r="AH197" s="382">
        <f>SUM(AH198:AH200)</f>
        <v>0</v>
      </c>
      <c r="AI197" s="382">
        <f>SUM(AI198:AI200)</f>
        <v>0</v>
      </c>
    </row>
    <row r="198" spans="2:35" ht="30" customHeight="1" hidden="1">
      <c r="B198" s="391"/>
      <c r="C198" s="391"/>
      <c r="D198" s="386">
        <f>'[1]GASTOS MATRIZ'!C194</f>
        <v>960</v>
      </c>
      <c r="E198" s="387" t="str">
        <f>'[1]GASTOS MATRIZ'!D194</f>
        <v>30</v>
      </c>
      <c r="F198" s="387" t="str">
        <f>'[1]GASTOS MATRIZ'!E194</f>
        <v>011</v>
      </c>
      <c r="G198" s="404" t="str">
        <f>'[1]GASTOS MATRIZ'!F194</f>
        <v>Deudas Pendientes de Pagos de Ejercicios Anteriores</v>
      </c>
      <c r="H198" s="393">
        <f>'[1]GASTOS MATRIZ'!G194</f>
        <v>0</v>
      </c>
      <c r="I198" s="393">
        <f>'[1]GASTOS MATRIZ'!H194</f>
        <v>0</v>
      </c>
      <c r="J198" s="393">
        <f>H198+I198</f>
        <v>0</v>
      </c>
      <c r="K198" s="389">
        <f>'[1]RESU X MES'!H184</f>
        <v>0</v>
      </c>
      <c r="L198" s="389">
        <f>'[1]RESU X MES'!H442</f>
        <v>0</v>
      </c>
      <c r="M198" s="389">
        <f>'[1]RESU X MES'!H701</f>
        <v>0</v>
      </c>
      <c r="N198" s="389"/>
      <c r="O198" s="389">
        <f>SUM(E198:J198)</f>
        <v>0</v>
      </c>
      <c r="P198" s="389"/>
      <c r="Q198" s="389"/>
      <c r="R198" s="389"/>
      <c r="S198" s="389"/>
      <c r="T198" s="389">
        <f>SUM(K198:P198)</f>
        <v>0</v>
      </c>
      <c r="U198" s="389">
        <f>'[1]RESU X MES'!H1225</f>
        <v>0</v>
      </c>
      <c r="V198" s="389">
        <f>'[1]RESU X MES'!H1487</f>
        <v>0</v>
      </c>
      <c r="W198" s="389">
        <f>'[1]RESU X MES'!H1750</f>
        <v>0</v>
      </c>
      <c r="X198" s="389">
        <f>'[1]RESU X MES'!H2011</f>
        <v>0</v>
      </c>
      <c r="Y198" s="389">
        <f>SUM(U198:X198)</f>
        <v>0</v>
      </c>
      <c r="Z198" s="389">
        <f t="shared" si="41"/>
        <v>0</v>
      </c>
      <c r="AA198" s="389">
        <f>'[1]RESU X MES'!H2270</f>
        <v>0</v>
      </c>
      <c r="AB198" s="389">
        <f>'[1]RESU X MES'!H2532</f>
        <v>0</v>
      </c>
      <c r="AC198" s="389">
        <f>'[1]RESU X MES'!H2794</f>
        <v>0</v>
      </c>
      <c r="AD198" s="389">
        <f>'[1]RESU X MES'!H3058</f>
        <v>0</v>
      </c>
      <c r="AE198" s="389">
        <f>SUM(AA198:AD198)</f>
        <v>0</v>
      </c>
      <c r="AF198" s="389">
        <f t="shared" si="47"/>
        <v>0</v>
      </c>
      <c r="AG198" s="389">
        <f>J198-AF198</f>
        <v>0</v>
      </c>
      <c r="AH198" s="389">
        <f>AF198-AI198</f>
        <v>0</v>
      </c>
      <c r="AI198" s="389">
        <f>'[1]RESU X MES'!N184+'[1]RESU X MES'!N442+'[1]RESU X MES'!N701+'[1]RESU X MES'!N964+'[1]RESU X MES'!N1225+'[1]RESU X MES'!N1487+'[1]RESU X MES'!N1750+'[1]RESU X MES'!N2011+'[1]RESU X MES'!N2270+'[1]RESU X MES'!N2532+'[1]RESU X MES'!N2794+'[1]RESU X MES'!N3058</f>
        <v>0</v>
      </c>
    </row>
    <row r="199" spans="2:35" ht="15" customHeight="1" hidden="1">
      <c r="B199" s="391"/>
      <c r="C199" s="391"/>
      <c r="D199" s="386"/>
      <c r="E199" s="387"/>
      <c r="F199" s="387"/>
      <c r="G199" s="404"/>
      <c r="H199" s="393"/>
      <c r="I199" s="393"/>
      <c r="J199" s="393"/>
      <c r="K199" s="389"/>
      <c r="L199" s="389"/>
      <c r="M199" s="389"/>
      <c r="N199" s="389"/>
      <c r="O199" s="389"/>
      <c r="P199" s="389"/>
      <c r="Q199" s="389"/>
      <c r="R199" s="389"/>
      <c r="S199" s="389"/>
      <c r="T199" s="389"/>
      <c r="U199" s="389"/>
      <c r="V199" s="389"/>
      <c r="W199" s="389"/>
      <c r="X199" s="389"/>
      <c r="Y199" s="389"/>
      <c r="Z199" s="389">
        <f t="shared" si="41"/>
        <v>0</v>
      </c>
      <c r="AA199" s="389"/>
      <c r="AB199" s="389"/>
      <c r="AC199" s="389"/>
      <c r="AD199" s="389"/>
      <c r="AE199" s="389"/>
      <c r="AF199" s="389">
        <f t="shared" si="47"/>
        <v>0</v>
      </c>
      <c r="AG199" s="389"/>
      <c r="AH199" s="389"/>
      <c r="AI199" s="389"/>
    </row>
    <row r="200" spans="2:35" ht="15" customHeight="1" hidden="1">
      <c r="B200" s="391"/>
      <c r="C200" s="391"/>
      <c r="D200" s="386"/>
      <c r="E200" s="387"/>
      <c r="F200" s="387"/>
      <c r="G200" s="391"/>
      <c r="H200" s="389"/>
      <c r="I200" s="389"/>
      <c r="J200" s="389"/>
      <c r="K200" s="389"/>
      <c r="L200" s="389"/>
      <c r="M200" s="389"/>
      <c r="N200" s="389"/>
      <c r="O200" s="389"/>
      <c r="P200" s="389"/>
      <c r="Q200" s="389"/>
      <c r="R200" s="389"/>
      <c r="S200" s="389"/>
      <c r="T200" s="389"/>
      <c r="U200" s="389"/>
      <c r="V200" s="389"/>
      <c r="W200" s="389"/>
      <c r="X200" s="389"/>
      <c r="Y200" s="389"/>
      <c r="Z200" s="389">
        <f t="shared" si="41"/>
        <v>0</v>
      </c>
      <c r="AA200" s="389"/>
      <c r="AB200" s="389"/>
      <c r="AC200" s="389"/>
      <c r="AD200" s="389"/>
      <c r="AE200" s="389"/>
      <c r="AF200" s="389">
        <f t="shared" si="47"/>
        <v>0</v>
      </c>
      <c r="AG200" s="389"/>
      <c r="AH200" s="389"/>
      <c r="AI200" s="389"/>
    </row>
    <row r="201" spans="2:35" ht="15" customHeight="1" hidden="1">
      <c r="B201" s="383"/>
      <c r="C201" s="383">
        <f>'[1]GASTOS MATRIZ'!B197</f>
        <v>990</v>
      </c>
      <c r="D201" s="381"/>
      <c r="E201" s="390"/>
      <c r="F201" s="390"/>
      <c r="G201" s="383" t="str">
        <f>'[1]GASTOS MATRIZ'!F197</f>
        <v>Gastos Imprevistos</v>
      </c>
      <c r="H201" s="382">
        <f aca="true" t="shared" si="54" ref="H201:M201">H202</f>
        <v>0</v>
      </c>
      <c r="I201" s="382">
        <f t="shared" si="54"/>
        <v>0</v>
      </c>
      <c r="J201" s="382">
        <f t="shared" si="54"/>
        <v>0</v>
      </c>
      <c r="K201" s="382">
        <f t="shared" si="54"/>
        <v>0</v>
      </c>
      <c r="L201" s="382">
        <f t="shared" si="54"/>
        <v>0</v>
      </c>
      <c r="M201" s="382">
        <f t="shared" si="54"/>
        <v>0</v>
      </c>
      <c r="N201" s="382"/>
      <c r="O201" s="382">
        <f>SUM(E201:J201)</f>
        <v>0</v>
      </c>
      <c r="P201" s="382"/>
      <c r="Q201" s="382"/>
      <c r="R201" s="382"/>
      <c r="S201" s="382"/>
      <c r="T201" s="382">
        <f>SUM(K201:P201)</f>
        <v>0</v>
      </c>
      <c r="U201" s="382">
        <f>U202</f>
        <v>0</v>
      </c>
      <c r="V201" s="382">
        <f>V202</f>
        <v>0</v>
      </c>
      <c r="W201" s="382">
        <f>W202</f>
        <v>0</v>
      </c>
      <c r="X201" s="382">
        <f>X202</f>
        <v>0</v>
      </c>
      <c r="Y201" s="382">
        <f>SUM(U201:X201)</f>
        <v>0</v>
      </c>
      <c r="Z201" s="382">
        <f t="shared" si="41"/>
        <v>0</v>
      </c>
      <c r="AA201" s="382">
        <f>AA202</f>
        <v>0</v>
      </c>
      <c r="AB201" s="382">
        <f>AB202</f>
        <v>0</v>
      </c>
      <c r="AC201" s="382">
        <f>AC202</f>
        <v>0</v>
      </c>
      <c r="AD201" s="382">
        <f>AD202</f>
        <v>0</v>
      </c>
      <c r="AE201" s="382">
        <f>SUM(AA201:AD201)</f>
        <v>0</v>
      </c>
      <c r="AF201" s="382">
        <f t="shared" si="47"/>
        <v>0</v>
      </c>
      <c r="AG201" s="382">
        <f>AG202</f>
        <v>0</v>
      </c>
      <c r="AH201" s="382">
        <f>AH202</f>
        <v>0</v>
      </c>
      <c r="AI201" s="382">
        <f>AI202</f>
        <v>0</v>
      </c>
    </row>
    <row r="202" spans="2:35" ht="15" customHeight="1" hidden="1">
      <c r="B202" s="391"/>
      <c r="C202" s="391"/>
      <c r="D202" s="386"/>
      <c r="E202" s="387"/>
      <c r="F202" s="387"/>
      <c r="G202" s="391"/>
      <c r="H202" s="389"/>
      <c r="I202" s="389"/>
      <c r="J202" s="389"/>
      <c r="K202" s="389"/>
      <c r="L202" s="389"/>
      <c r="M202" s="389"/>
      <c r="N202" s="389"/>
      <c r="O202" s="389"/>
      <c r="P202" s="389"/>
      <c r="Q202" s="389"/>
      <c r="R202" s="389"/>
      <c r="S202" s="389"/>
      <c r="T202" s="389"/>
      <c r="U202" s="389"/>
      <c r="V202" s="389"/>
      <c r="W202" s="389"/>
      <c r="X202" s="389"/>
      <c r="Y202" s="389"/>
      <c r="Z202" s="389">
        <f t="shared" si="41"/>
        <v>0</v>
      </c>
      <c r="AA202" s="389"/>
      <c r="AB202" s="389"/>
      <c r="AC202" s="389"/>
      <c r="AD202" s="389"/>
      <c r="AE202" s="389"/>
      <c r="AF202" s="389">
        <f t="shared" si="47"/>
        <v>0</v>
      </c>
      <c r="AG202" s="389"/>
      <c r="AH202" s="389"/>
      <c r="AI202" s="389"/>
    </row>
    <row r="203" spans="2:35" ht="14.25">
      <c r="B203" s="391"/>
      <c r="C203" s="391"/>
      <c r="D203" s="386"/>
      <c r="E203" s="387"/>
      <c r="F203" s="387"/>
      <c r="G203" s="391"/>
      <c r="H203" s="389"/>
      <c r="I203" s="389"/>
      <c r="J203" s="389"/>
      <c r="K203" s="389"/>
      <c r="L203" s="389"/>
      <c r="M203" s="389"/>
      <c r="N203" s="389"/>
      <c r="O203" s="389"/>
      <c r="P203" s="389"/>
      <c r="Q203" s="389"/>
      <c r="R203" s="389"/>
      <c r="S203" s="389"/>
      <c r="T203" s="389"/>
      <c r="U203" s="389"/>
      <c r="V203" s="389"/>
      <c r="W203" s="389"/>
      <c r="X203" s="389"/>
      <c r="Y203" s="389"/>
      <c r="Z203" s="389">
        <f t="shared" si="41"/>
        <v>0</v>
      </c>
      <c r="AA203" s="389"/>
      <c r="AB203" s="389"/>
      <c r="AC203" s="389"/>
      <c r="AD203" s="389"/>
      <c r="AE203" s="389"/>
      <c r="AF203" s="389">
        <f t="shared" si="47"/>
        <v>0</v>
      </c>
      <c r="AG203" s="389"/>
      <c r="AH203" s="389"/>
      <c r="AI203" s="389"/>
    </row>
    <row r="204" spans="2:35" ht="14.25">
      <c r="B204" s="381"/>
      <c r="C204" s="381"/>
      <c r="D204" s="381"/>
      <c r="E204" s="381"/>
      <c r="F204" s="381"/>
      <c r="G204" s="383" t="str">
        <f>'[1]GASTOS MATRIZ'!F200</f>
        <v>GASTOS DE CAPITAL</v>
      </c>
      <c r="H204" s="382">
        <f>H205+H214+H248+H253+H264</f>
        <v>1143665320</v>
      </c>
      <c r="I204" s="382">
        <f>I205+I214+I248+I253+I264</f>
        <v>-128285121</v>
      </c>
      <c r="J204" s="382">
        <f>J205+J214+J248+J253+J264</f>
        <v>1015380199</v>
      </c>
      <c r="K204" s="382">
        <f aca="true" t="shared" si="55" ref="K204:AI204">K205+K214+K248+K253+K264</f>
        <v>0</v>
      </c>
      <c r="L204" s="382">
        <f t="shared" si="55"/>
        <v>0</v>
      </c>
      <c r="M204" s="382">
        <f t="shared" si="55"/>
        <v>0</v>
      </c>
      <c r="N204" s="382">
        <f t="shared" si="55"/>
        <v>137000000</v>
      </c>
      <c r="O204" s="382">
        <f t="shared" si="55"/>
        <v>137000000</v>
      </c>
      <c r="P204" s="382">
        <f t="shared" si="55"/>
        <v>0</v>
      </c>
      <c r="Q204" s="382">
        <f t="shared" si="55"/>
        <v>0</v>
      </c>
      <c r="R204" s="382">
        <f t="shared" si="55"/>
        <v>0</v>
      </c>
      <c r="S204" s="382">
        <f t="shared" si="55"/>
        <v>0</v>
      </c>
      <c r="T204" s="382">
        <f t="shared" si="55"/>
        <v>274000000</v>
      </c>
      <c r="U204" s="382">
        <f t="shared" si="55"/>
        <v>0</v>
      </c>
      <c r="V204" s="382">
        <f t="shared" si="55"/>
        <v>0</v>
      </c>
      <c r="W204" s="382">
        <f t="shared" si="55"/>
        <v>0</v>
      </c>
      <c r="X204" s="382">
        <f t="shared" si="55"/>
        <v>0</v>
      </c>
      <c r="Y204" s="382">
        <f t="shared" si="55"/>
        <v>0</v>
      </c>
      <c r="Z204" s="382">
        <f t="shared" si="55"/>
        <v>274000000</v>
      </c>
      <c r="AA204" s="382">
        <f t="shared" si="55"/>
        <v>0</v>
      </c>
      <c r="AB204" s="382">
        <f t="shared" si="55"/>
        <v>0</v>
      </c>
      <c r="AC204" s="382">
        <f t="shared" si="55"/>
        <v>0</v>
      </c>
      <c r="AD204" s="382">
        <f t="shared" si="55"/>
        <v>0</v>
      </c>
      <c r="AE204" s="382">
        <f t="shared" si="55"/>
        <v>0</v>
      </c>
      <c r="AF204" s="382">
        <f t="shared" si="47"/>
        <v>137000000</v>
      </c>
      <c r="AG204" s="382">
        <f t="shared" si="55"/>
        <v>878380199</v>
      </c>
      <c r="AH204" s="382">
        <f t="shared" si="55"/>
        <v>137000000</v>
      </c>
      <c r="AI204" s="382">
        <f t="shared" si="55"/>
        <v>0</v>
      </c>
    </row>
    <row r="205" spans="2:35" ht="15" customHeight="1" hidden="1">
      <c r="B205" s="381">
        <f>'[1]GASTOS MATRIZ'!A201</f>
        <v>400</v>
      </c>
      <c r="C205" s="381"/>
      <c r="D205" s="381"/>
      <c r="E205" s="390"/>
      <c r="F205" s="390"/>
      <c r="G205" s="383" t="str">
        <f>'[1]GASTOS MATRIZ'!F201</f>
        <v>BIENES DE CAMBIO</v>
      </c>
      <c r="H205" s="382">
        <f aca="true" t="shared" si="56" ref="H205:AI205">H206+H210</f>
        <v>0</v>
      </c>
      <c r="I205" s="382">
        <f t="shared" si="56"/>
        <v>0</v>
      </c>
      <c r="J205" s="382">
        <f t="shared" si="56"/>
        <v>0</v>
      </c>
      <c r="K205" s="382">
        <f t="shared" si="56"/>
        <v>0</v>
      </c>
      <c r="L205" s="382">
        <f t="shared" si="56"/>
        <v>0</v>
      </c>
      <c r="M205" s="382">
        <f t="shared" si="56"/>
        <v>0</v>
      </c>
      <c r="N205" s="382">
        <f t="shared" si="56"/>
        <v>0</v>
      </c>
      <c r="O205" s="382">
        <f t="shared" si="56"/>
        <v>0</v>
      </c>
      <c r="P205" s="382">
        <f t="shared" si="56"/>
        <v>0</v>
      </c>
      <c r="Q205" s="382">
        <f t="shared" si="56"/>
        <v>0</v>
      </c>
      <c r="R205" s="382">
        <f t="shared" si="56"/>
        <v>0</v>
      </c>
      <c r="S205" s="382">
        <f t="shared" si="56"/>
        <v>0</v>
      </c>
      <c r="T205" s="382">
        <f t="shared" si="56"/>
        <v>0</v>
      </c>
      <c r="U205" s="382">
        <f t="shared" si="56"/>
        <v>0</v>
      </c>
      <c r="V205" s="382">
        <f t="shared" si="56"/>
        <v>0</v>
      </c>
      <c r="W205" s="382">
        <f t="shared" si="56"/>
        <v>0</v>
      </c>
      <c r="X205" s="382">
        <f t="shared" si="56"/>
        <v>0</v>
      </c>
      <c r="Y205" s="382">
        <f t="shared" si="56"/>
        <v>0</v>
      </c>
      <c r="Z205" s="382">
        <f t="shared" si="56"/>
        <v>0</v>
      </c>
      <c r="AA205" s="382">
        <f t="shared" si="56"/>
        <v>0</v>
      </c>
      <c r="AB205" s="382">
        <f t="shared" si="56"/>
        <v>0</v>
      </c>
      <c r="AC205" s="382">
        <f t="shared" si="56"/>
        <v>0</v>
      </c>
      <c r="AD205" s="382">
        <f t="shared" si="56"/>
        <v>0</v>
      </c>
      <c r="AE205" s="382">
        <f t="shared" si="56"/>
        <v>0</v>
      </c>
      <c r="AF205" s="382">
        <f t="shared" si="47"/>
        <v>0</v>
      </c>
      <c r="AG205" s="382">
        <f t="shared" si="56"/>
        <v>0</v>
      </c>
      <c r="AH205" s="382">
        <f t="shared" si="56"/>
        <v>0</v>
      </c>
      <c r="AI205" s="382">
        <f t="shared" si="56"/>
        <v>0</v>
      </c>
    </row>
    <row r="206" spans="2:35" ht="15" customHeight="1" hidden="1">
      <c r="B206" s="383"/>
      <c r="C206" s="383">
        <f>'[1]GASTOS MATRIZ'!B202</f>
        <v>410</v>
      </c>
      <c r="D206" s="381"/>
      <c r="E206" s="390"/>
      <c r="F206" s="390"/>
      <c r="G206" s="383" t="str">
        <f>'[1]GASTOS MATRIZ'!F202</f>
        <v>Bienes e Insumos del Sector Agropecuario y Forestal</v>
      </c>
      <c r="H206" s="382">
        <f aca="true" t="shared" si="57" ref="H206:AI206">SUM(H207:H209)</f>
        <v>0</v>
      </c>
      <c r="I206" s="382">
        <f t="shared" si="57"/>
        <v>0</v>
      </c>
      <c r="J206" s="382">
        <f t="shared" si="57"/>
        <v>0</v>
      </c>
      <c r="K206" s="382">
        <f t="shared" si="57"/>
        <v>0</v>
      </c>
      <c r="L206" s="382">
        <f t="shared" si="57"/>
        <v>0</v>
      </c>
      <c r="M206" s="382">
        <f t="shared" si="57"/>
        <v>0</v>
      </c>
      <c r="N206" s="382">
        <f t="shared" si="57"/>
        <v>0</v>
      </c>
      <c r="O206" s="382">
        <f t="shared" si="57"/>
        <v>0</v>
      </c>
      <c r="P206" s="382">
        <f t="shared" si="57"/>
        <v>0</v>
      </c>
      <c r="Q206" s="382">
        <f t="shared" si="57"/>
        <v>0</v>
      </c>
      <c r="R206" s="382">
        <f t="shared" si="57"/>
        <v>0</v>
      </c>
      <c r="S206" s="382">
        <f t="shared" si="57"/>
        <v>0</v>
      </c>
      <c r="T206" s="382">
        <f t="shared" si="57"/>
        <v>0</v>
      </c>
      <c r="U206" s="382">
        <f t="shared" si="57"/>
        <v>0</v>
      </c>
      <c r="V206" s="382">
        <f t="shared" si="57"/>
        <v>0</v>
      </c>
      <c r="W206" s="382">
        <f t="shared" si="57"/>
        <v>0</v>
      </c>
      <c r="X206" s="382">
        <f t="shared" si="57"/>
        <v>0</v>
      </c>
      <c r="Y206" s="382">
        <f t="shared" si="57"/>
        <v>0</v>
      </c>
      <c r="Z206" s="382">
        <f t="shared" si="57"/>
        <v>0</v>
      </c>
      <c r="AA206" s="382">
        <f t="shared" si="57"/>
        <v>0</v>
      </c>
      <c r="AB206" s="382">
        <f t="shared" si="57"/>
        <v>0</v>
      </c>
      <c r="AC206" s="382">
        <f t="shared" si="57"/>
        <v>0</v>
      </c>
      <c r="AD206" s="382">
        <f t="shared" si="57"/>
        <v>0</v>
      </c>
      <c r="AE206" s="382">
        <f t="shared" si="57"/>
        <v>0</v>
      </c>
      <c r="AF206" s="382">
        <f t="shared" si="47"/>
        <v>0</v>
      </c>
      <c r="AG206" s="382">
        <f t="shared" si="57"/>
        <v>0</v>
      </c>
      <c r="AH206" s="382">
        <f t="shared" si="57"/>
        <v>0</v>
      </c>
      <c r="AI206" s="382">
        <f t="shared" si="57"/>
        <v>0</v>
      </c>
    </row>
    <row r="207" spans="2:35" ht="15" customHeight="1" hidden="1">
      <c r="B207" s="391"/>
      <c r="C207" s="391"/>
      <c r="D207" s="386">
        <f>'[1]GASTOS MATRIZ'!C203</f>
        <v>410</v>
      </c>
      <c r="E207" s="387" t="str">
        <f>'[1]GASTOS MATRIZ'!D203</f>
        <v>30</v>
      </c>
      <c r="F207" s="387" t="str">
        <f>'[1]GASTOS MATRIZ'!E203</f>
        <v>011</v>
      </c>
      <c r="G207" s="391" t="str">
        <f>'[1]GASTOS MATRIZ'!F203</f>
        <v>Bienes e Insumos del Sector Agropecuario y Forestal</v>
      </c>
      <c r="H207" s="389">
        <f>'[1]GASTOS MATRIZ'!G203</f>
        <v>0</v>
      </c>
      <c r="I207" s="389">
        <f>'[1]GASTOS MATRIZ'!H203</f>
        <v>0</v>
      </c>
      <c r="J207" s="389">
        <f>H207+I207</f>
        <v>0</v>
      </c>
      <c r="K207" s="389">
        <f aca="true" t="shared" si="58" ref="K207:AI207">I207+J207</f>
        <v>0</v>
      </c>
      <c r="L207" s="389">
        <f t="shared" si="58"/>
        <v>0</v>
      </c>
      <c r="M207" s="389">
        <f t="shared" si="58"/>
        <v>0</v>
      </c>
      <c r="N207" s="389">
        <f t="shared" si="58"/>
        <v>0</v>
      </c>
      <c r="O207" s="389">
        <f t="shared" si="58"/>
        <v>0</v>
      </c>
      <c r="P207" s="389">
        <f>M207+N207</f>
        <v>0</v>
      </c>
      <c r="Q207" s="389">
        <f>N207+P207</f>
        <v>0</v>
      </c>
      <c r="R207" s="389">
        <f>P207+Q207</f>
        <v>0</v>
      </c>
      <c r="S207" s="389">
        <f>Q207+R207</f>
        <v>0</v>
      </c>
      <c r="T207" s="389">
        <f t="shared" si="58"/>
        <v>0</v>
      </c>
      <c r="U207" s="389">
        <f t="shared" si="58"/>
        <v>0</v>
      </c>
      <c r="V207" s="389">
        <f t="shared" si="58"/>
        <v>0</v>
      </c>
      <c r="W207" s="389">
        <f t="shared" si="58"/>
        <v>0</v>
      </c>
      <c r="X207" s="389">
        <f t="shared" si="58"/>
        <v>0</v>
      </c>
      <c r="Y207" s="389">
        <f t="shared" si="58"/>
        <v>0</v>
      </c>
      <c r="Z207" s="389">
        <f t="shared" si="58"/>
        <v>0</v>
      </c>
      <c r="AA207" s="389">
        <f t="shared" si="58"/>
        <v>0</v>
      </c>
      <c r="AB207" s="389">
        <f t="shared" si="58"/>
        <v>0</v>
      </c>
      <c r="AC207" s="389">
        <f t="shared" si="58"/>
        <v>0</v>
      </c>
      <c r="AD207" s="389">
        <f t="shared" si="58"/>
        <v>0</v>
      </c>
      <c r="AE207" s="389">
        <f t="shared" si="58"/>
        <v>0</v>
      </c>
      <c r="AF207" s="389">
        <f t="shared" si="47"/>
        <v>0</v>
      </c>
      <c r="AG207" s="389">
        <f t="shared" si="58"/>
        <v>0</v>
      </c>
      <c r="AH207" s="389">
        <f t="shared" si="58"/>
        <v>0</v>
      </c>
      <c r="AI207" s="389">
        <f t="shared" si="58"/>
        <v>0</v>
      </c>
    </row>
    <row r="208" spans="2:35" ht="15" customHeight="1" hidden="1">
      <c r="B208" s="391"/>
      <c r="C208" s="391"/>
      <c r="D208" s="386"/>
      <c r="E208" s="387"/>
      <c r="F208" s="387"/>
      <c r="G208" s="391"/>
      <c r="H208" s="389"/>
      <c r="I208" s="389"/>
      <c r="J208" s="389"/>
      <c r="K208" s="389"/>
      <c r="L208" s="389"/>
      <c r="M208" s="389"/>
      <c r="N208" s="389"/>
      <c r="O208" s="389"/>
      <c r="P208" s="389"/>
      <c r="Q208" s="389"/>
      <c r="R208" s="389"/>
      <c r="S208" s="389"/>
      <c r="T208" s="389"/>
      <c r="U208" s="389"/>
      <c r="V208" s="389"/>
      <c r="W208" s="389"/>
      <c r="X208" s="389"/>
      <c r="Y208" s="389"/>
      <c r="Z208" s="389"/>
      <c r="AA208" s="389"/>
      <c r="AB208" s="389"/>
      <c r="AC208" s="389"/>
      <c r="AD208" s="389"/>
      <c r="AE208" s="389"/>
      <c r="AF208" s="389">
        <f t="shared" si="47"/>
        <v>0</v>
      </c>
      <c r="AG208" s="389"/>
      <c r="AH208" s="389"/>
      <c r="AI208" s="389"/>
    </row>
    <row r="209" spans="2:35" ht="15" customHeight="1" hidden="1">
      <c r="B209" s="381"/>
      <c r="C209" s="381"/>
      <c r="D209" s="381"/>
      <c r="E209" s="381"/>
      <c r="F209" s="381"/>
      <c r="G209" s="383"/>
      <c r="H209" s="382"/>
      <c r="I209" s="382"/>
      <c r="J209" s="382"/>
      <c r="K209" s="382"/>
      <c r="L209" s="382"/>
      <c r="M209" s="382"/>
      <c r="N209" s="382"/>
      <c r="O209" s="382"/>
      <c r="P209" s="382"/>
      <c r="Q209" s="382"/>
      <c r="R209" s="382"/>
      <c r="S209" s="382"/>
      <c r="T209" s="382"/>
      <c r="U209" s="382"/>
      <c r="V209" s="382"/>
      <c r="W209" s="382"/>
      <c r="X209" s="382"/>
      <c r="Y209" s="382"/>
      <c r="Z209" s="382"/>
      <c r="AA209" s="382"/>
      <c r="AB209" s="382"/>
      <c r="AC209" s="382"/>
      <c r="AD209" s="382"/>
      <c r="AE209" s="382"/>
      <c r="AF209" s="382">
        <f t="shared" si="47"/>
        <v>0</v>
      </c>
      <c r="AG209" s="382"/>
      <c r="AH209" s="382"/>
      <c r="AI209" s="382"/>
    </row>
    <row r="210" spans="2:35" ht="15" customHeight="1" hidden="1">
      <c r="B210" s="383"/>
      <c r="C210" s="383">
        <f>'[1]GASTOS MATRIZ'!B206</f>
        <v>420</v>
      </c>
      <c r="D210" s="381"/>
      <c r="E210" s="390"/>
      <c r="F210" s="390"/>
      <c r="G210" s="383" t="str">
        <f>'[1]GASTOS MATRIZ'!F206</f>
        <v>Minerales</v>
      </c>
      <c r="H210" s="382">
        <f aca="true" t="shared" si="59" ref="H210:AI210">SUM(H211:H213)</f>
        <v>0</v>
      </c>
      <c r="I210" s="382">
        <f t="shared" si="59"/>
        <v>0</v>
      </c>
      <c r="J210" s="382">
        <f t="shared" si="59"/>
        <v>0</v>
      </c>
      <c r="K210" s="382">
        <f t="shared" si="59"/>
        <v>0</v>
      </c>
      <c r="L210" s="382">
        <f t="shared" si="59"/>
        <v>0</v>
      </c>
      <c r="M210" s="382">
        <f t="shared" si="59"/>
        <v>0</v>
      </c>
      <c r="N210" s="382">
        <f t="shared" si="59"/>
        <v>0</v>
      </c>
      <c r="O210" s="382">
        <f t="shared" si="59"/>
        <v>0</v>
      </c>
      <c r="P210" s="382">
        <f t="shared" si="59"/>
        <v>0</v>
      </c>
      <c r="Q210" s="382">
        <f t="shared" si="59"/>
        <v>0</v>
      </c>
      <c r="R210" s="382">
        <f t="shared" si="59"/>
        <v>0</v>
      </c>
      <c r="S210" s="382">
        <f t="shared" si="59"/>
        <v>0</v>
      </c>
      <c r="T210" s="382">
        <f t="shared" si="59"/>
        <v>0</v>
      </c>
      <c r="U210" s="382">
        <f t="shared" si="59"/>
        <v>0</v>
      </c>
      <c r="V210" s="382">
        <f t="shared" si="59"/>
        <v>0</v>
      </c>
      <c r="W210" s="382">
        <f t="shared" si="59"/>
        <v>0</v>
      </c>
      <c r="X210" s="382">
        <f t="shared" si="59"/>
        <v>0</v>
      </c>
      <c r="Y210" s="382">
        <f t="shared" si="59"/>
        <v>0</v>
      </c>
      <c r="Z210" s="382">
        <f t="shared" si="59"/>
        <v>0</v>
      </c>
      <c r="AA210" s="382">
        <f t="shared" si="59"/>
        <v>0</v>
      </c>
      <c r="AB210" s="382">
        <f t="shared" si="59"/>
        <v>0</v>
      </c>
      <c r="AC210" s="382">
        <f t="shared" si="59"/>
        <v>0</v>
      </c>
      <c r="AD210" s="382">
        <f t="shared" si="59"/>
        <v>0</v>
      </c>
      <c r="AE210" s="382">
        <f t="shared" si="59"/>
        <v>0</v>
      </c>
      <c r="AF210" s="382">
        <f t="shared" si="47"/>
        <v>0</v>
      </c>
      <c r="AG210" s="382">
        <f t="shared" si="59"/>
        <v>0</v>
      </c>
      <c r="AH210" s="382">
        <f t="shared" si="59"/>
        <v>0</v>
      </c>
      <c r="AI210" s="382">
        <f t="shared" si="59"/>
        <v>0</v>
      </c>
    </row>
    <row r="211" spans="2:35" ht="15" customHeight="1" hidden="1">
      <c r="B211" s="391"/>
      <c r="C211" s="391"/>
      <c r="D211" s="386">
        <f>'[1]GASTOS MATRIZ'!C207</f>
        <v>420</v>
      </c>
      <c r="E211" s="387" t="str">
        <f>'[1]GASTOS MATRIZ'!D207</f>
        <v>30</v>
      </c>
      <c r="F211" s="387" t="str">
        <f>'[1]GASTOS MATRIZ'!E207</f>
        <v>011</v>
      </c>
      <c r="G211" s="391" t="str">
        <f>'[1]GASTOS MATRIZ'!F207</f>
        <v>Minerales</v>
      </c>
      <c r="H211" s="389">
        <f>'[1]GASTOS MATRIZ'!G207</f>
        <v>0</v>
      </c>
      <c r="I211" s="389">
        <f>'[1]GASTOS MATRIZ'!H207</f>
        <v>0</v>
      </c>
      <c r="J211" s="389">
        <f>H211+I211</f>
        <v>0</v>
      </c>
      <c r="K211" s="389">
        <f aca="true" t="shared" si="60" ref="K211:AI211">I211+J211</f>
        <v>0</v>
      </c>
      <c r="L211" s="389">
        <f t="shared" si="60"/>
        <v>0</v>
      </c>
      <c r="M211" s="389">
        <f t="shared" si="60"/>
        <v>0</v>
      </c>
      <c r="N211" s="389">
        <f t="shared" si="60"/>
        <v>0</v>
      </c>
      <c r="O211" s="389">
        <f t="shared" si="60"/>
        <v>0</v>
      </c>
      <c r="P211" s="389">
        <f>M211+N211</f>
        <v>0</v>
      </c>
      <c r="Q211" s="389">
        <f>N211+P211</f>
        <v>0</v>
      </c>
      <c r="R211" s="389">
        <f>P211+Q211</f>
        <v>0</v>
      </c>
      <c r="S211" s="389">
        <f>Q211+R211</f>
        <v>0</v>
      </c>
      <c r="T211" s="389">
        <f t="shared" si="60"/>
        <v>0</v>
      </c>
      <c r="U211" s="389">
        <f t="shared" si="60"/>
        <v>0</v>
      </c>
      <c r="V211" s="389">
        <f t="shared" si="60"/>
        <v>0</v>
      </c>
      <c r="W211" s="389">
        <f t="shared" si="60"/>
        <v>0</v>
      </c>
      <c r="X211" s="389">
        <f t="shared" si="60"/>
        <v>0</v>
      </c>
      <c r="Y211" s="389">
        <f t="shared" si="60"/>
        <v>0</v>
      </c>
      <c r="Z211" s="389">
        <f t="shared" si="60"/>
        <v>0</v>
      </c>
      <c r="AA211" s="389">
        <f t="shared" si="60"/>
        <v>0</v>
      </c>
      <c r="AB211" s="389">
        <f t="shared" si="60"/>
        <v>0</v>
      </c>
      <c r="AC211" s="389">
        <f t="shared" si="60"/>
        <v>0</v>
      </c>
      <c r="AD211" s="389">
        <f t="shared" si="60"/>
        <v>0</v>
      </c>
      <c r="AE211" s="389">
        <f t="shared" si="60"/>
        <v>0</v>
      </c>
      <c r="AF211" s="389">
        <f t="shared" si="47"/>
        <v>0</v>
      </c>
      <c r="AG211" s="389">
        <f t="shared" si="60"/>
        <v>0</v>
      </c>
      <c r="AH211" s="389">
        <f t="shared" si="60"/>
        <v>0</v>
      </c>
      <c r="AI211" s="389">
        <f t="shared" si="60"/>
        <v>0</v>
      </c>
    </row>
    <row r="212" spans="2:35" ht="15" customHeight="1" hidden="1">
      <c r="B212" s="391"/>
      <c r="C212" s="391"/>
      <c r="D212" s="386"/>
      <c r="E212" s="387"/>
      <c r="F212" s="387"/>
      <c r="G212" s="391"/>
      <c r="H212" s="389"/>
      <c r="I212" s="389"/>
      <c r="J212" s="389"/>
      <c r="K212" s="389"/>
      <c r="L212" s="389"/>
      <c r="M212" s="389"/>
      <c r="N212" s="389"/>
      <c r="O212" s="389"/>
      <c r="P212" s="389"/>
      <c r="Q212" s="389"/>
      <c r="R212" s="389"/>
      <c r="S212" s="389"/>
      <c r="T212" s="389"/>
      <c r="U212" s="389"/>
      <c r="V212" s="389"/>
      <c r="W212" s="389"/>
      <c r="X212" s="389"/>
      <c r="Y212" s="389"/>
      <c r="Z212" s="389"/>
      <c r="AA212" s="389"/>
      <c r="AB212" s="389"/>
      <c r="AC212" s="389"/>
      <c r="AD212" s="389"/>
      <c r="AE212" s="389"/>
      <c r="AF212" s="389">
        <f t="shared" si="47"/>
        <v>0</v>
      </c>
      <c r="AG212" s="389"/>
      <c r="AH212" s="389"/>
      <c r="AI212" s="389"/>
    </row>
    <row r="213" spans="2:35" ht="15" customHeight="1" hidden="1">
      <c r="B213" s="381"/>
      <c r="C213" s="381"/>
      <c r="D213" s="381"/>
      <c r="E213" s="381"/>
      <c r="F213" s="381"/>
      <c r="G213" s="383"/>
      <c r="H213" s="382"/>
      <c r="I213" s="382"/>
      <c r="J213" s="382"/>
      <c r="K213" s="382"/>
      <c r="L213" s="382"/>
      <c r="M213" s="382"/>
      <c r="N213" s="382"/>
      <c r="O213" s="382"/>
      <c r="P213" s="382"/>
      <c r="Q213" s="382"/>
      <c r="R213" s="382"/>
      <c r="S213" s="382"/>
      <c r="T213" s="382"/>
      <c r="U213" s="382"/>
      <c r="V213" s="382"/>
      <c r="W213" s="382"/>
      <c r="X213" s="382"/>
      <c r="Y213" s="382"/>
      <c r="Z213" s="382"/>
      <c r="AA213" s="382"/>
      <c r="AB213" s="382"/>
      <c r="AC213" s="382"/>
      <c r="AD213" s="382"/>
      <c r="AE213" s="382"/>
      <c r="AF213" s="382">
        <f t="shared" si="47"/>
        <v>0</v>
      </c>
      <c r="AG213" s="382"/>
      <c r="AH213" s="382"/>
      <c r="AI213" s="382"/>
    </row>
    <row r="214" spans="2:35" ht="14.25">
      <c r="B214" s="381">
        <f>'[1]GASTOS MATRIZ'!A210</f>
        <v>500</v>
      </c>
      <c r="C214" s="381"/>
      <c r="D214" s="381"/>
      <c r="E214" s="390"/>
      <c r="F214" s="390"/>
      <c r="G214" s="383" t="str">
        <f>'[1]GASTOS MATRIZ'!F210</f>
        <v>INVERSIÓN FÍSICA</v>
      </c>
      <c r="H214" s="382">
        <f aca="true" t="shared" si="61" ref="H214:AI214">H215+H219+H225+H231+H237+H241+H244</f>
        <v>975665320</v>
      </c>
      <c r="I214" s="382">
        <f t="shared" si="61"/>
        <v>-50000000</v>
      </c>
      <c r="J214" s="382">
        <f t="shared" si="61"/>
        <v>925665320</v>
      </c>
      <c r="K214" s="382">
        <f t="shared" si="61"/>
        <v>0</v>
      </c>
      <c r="L214" s="382">
        <f t="shared" si="61"/>
        <v>0</v>
      </c>
      <c r="M214" s="382">
        <f t="shared" si="61"/>
        <v>0</v>
      </c>
      <c r="N214" s="382">
        <f t="shared" si="61"/>
        <v>137000000</v>
      </c>
      <c r="O214" s="382">
        <f t="shared" si="61"/>
        <v>137000000</v>
      </c>
      <c r="P214" s="382">
        <f t="shared" si="61"/>
        <v>0</v>
      </c>
      <c r="Q214" s="382">
        <f t="shared" si="61"/>
        <v>0</v>
      </c>
      <c r="R214" s="382">
        <f t="shared" si="61"/>
        <v>0</v>
      </c>
      <c r="S214" s="382">
        <f t="shared" si="61"/>
        <v>0</v>
      </c>
      <c r="T214" s="382">
        <f t="shared" si="61"/>
        <v>274000000</v>
      </c>
      <c r="U214" s="382">
        <f t="shared" si="61"/>
        <v>0</v>
      </c>
      <c r="V214" s="382">
        <f t="shared" si="61"/>
        <v>0</v>
      </c>
      <c r="W214" s="382">
        <f t="shared" si="61"/>
        <v>0</v>
      </c>
      <c r="X214" s="382">
        <f t="shared" si="61"/>
        <v>0</v>
      </c>
      <c r="Y214" s="382">
        <f t="shared" si="61"/>
        <v>0</v>
      </c>
      <c r="Z214" s="382">
        <f t="shared" si="61"/>
        <v>274000000</v>
      </c>
      <c r="AA214" s="382">
        <f t="shared" si="61"/>
        <v>0</v>
      </c>
      <c r="AB214" s="382">
        <f t="shared" si="61"/>
        <v>0</v>
      </c>
      <c r="AC214" s="382">
        <f t="shared" si="61"/>
        <v>0</v>
      </c>
      <c r="AD214" s="382">
        <f t="shared" si="61"/>
        <v>0</v>
      </c>
      <c r="AE214" s="382">
        <f t="shared" si="61"/>
        <v>0</v>
      </c>
      <c r="AF214" s="382">
        <f t="shared" si="47"/>
        <v>137000000</v>
      </c>
      <c r="AG214" s="382">
        <f t="shared" si="61"/>
        <v>788665320</v>
      </c>
      <c r="AH214" s="382">
        <f t="shared" si="61"/>
        <v>137000000</v>
      </c>
      <c r="AI214" s="382">
        <f t="shared" si="61"/>
        <v>0</v>
      </c>
    </row>
    <row r="215" spans="2:35" ht="14.25">
      <c r="B215" s="383"/>
      <c r="C215" s="383">
        <f>'[1]GASTOS MATRIZ'!B211</f>
        <v>510</v>
      </c>
      <c r="D215" s="381"/>
      <c r="E215" s="390"/>
      <c r="F215" s="390"/>
      <c r="G215" s="383" t="str">
        <f>'[1]GASTOS MATRIZ'!F211</f>
        <v>Adquisición de Inmuebles</v>
      </c>
      <c r="H215" s="382">
        <f aca="true" t="shared" si="62" ref="H215:O215">SUM(H216:H218)</f>
        <v>0</v>
      </c>
      <c r="I215" s="382">
        <f t="shared" si="62"/>
        <v>0</v>
      </c>
      <c r="J215" s="382">
        <f t="shared" si="62"/>
        <v>0</v>
      </c>
      <c r="K215" s="382">
        <f t="shared" si="62"/>
        <v>0</v>
      </c>
      <c r="L215" s="382">
        <f t="shared" si="62"/>
        <v>0</v>
      </c>
      <c r="M215" s="382">
        <f t="shared" si="62"/>
        <v>0</v>
      </c>
      <c r="N215" s="382">
        <f t="shared" si="62"/>
        <v>0</v>
      </c>
      <c r="O215" s="382">
        <f t="shared" si="62"/>
        <v>0</v>
      </c>
      <c r="P215" s="382">
        <v>0</v>
      </c>
      <c r="Q215" s="382">
        <v>0</v>
      </c>
      <c r="R215" s="382"/>
      <c r="S215" s="382"/>
      <c r="T215" s="382">
        <f>SUM(K215:P215)</f>
        <v>0</v>
      </c>
      <c r="U215" s="382">
        <f>SUM(U216:U218)</f>
        <v>0</v>
      </c>
      <c r="V215" s="382">
        <f>SUM(V216:V218)</f>
        <v>0</v>
      </c>
      <c r="W215" s="382">
        <f>SUM(W216:W218)</f>
        <v>0</v>
      </c>
      <c r="X215" s="382">
        <f>SUM(X216:X218)</f>
        <v>0</v>
      </c>
      <c r="Y215" s="382">
        <f>SUM(U215:X215)</f>
        <v>0</v>
      </c>
      <c r="Z215" s="382">
        <f t="shared" si="41"/>
        <v>0</v>
      </c>
      <c r="AA215" s="382">
        <f>SUM(AA216:AA218)</f>
        <v>0</v>
      </c>
      <c r="AB215" s="382">
        <f>SUM(AB216:AB218)</f>
        <v>0</v>
      </c>
      <c r="AC215" s="382">
        <f>SUM(AC216:AC218)</f>
        <v>0</v>
      </c>
      <c r="AD215" s="382">
        <f>SUM(AD216:AD218)</f>
        <v>0</v>
      </c>
      <c r="AE215" s="382">
        <f>SUM(AA215:AD215)</f>
        <v>0</v>
      </c>
      <c r="AF215" s="382">
        <f t="shared" si="47"/>
        <v>0</v>
      </c>
      <c r="AG215" s="382">
        <f>SUM(AG216:AG218)</f>
        <v>0</v>
      </c>
      <c r="AH215" s="382">
        <f>SUM(AH216:AH218)</f>
        <v>0</v>
      </c>
      <c r="AI215" s="382">
        <f>SUM(AI216:AI218)</f>
        <v>0</v>
      </c>
    </row>
    <row r="216" spans="2:35" ht="14.25">
      <c r="B216" s="391"/>
      <c r="C216" s="391"/>
      <c r="D216" s="386">
        <f>'[1]GASTOS MATRIZ'!C212</f>
        <v>510</v>
      </c>
      <c r="E216" s="387" t="str">
        <f>'[1]GASTOS MATRIZ'!D212</f>
        <v>30</v>
      </c>
      <c r="F216" s="387" t="str">
        <f>'[1]GASTOS MATRIZ'!E212</f>
        <v>011</v>
      </c>
      <c r="G216" s="391" t="str">
        <f>'[1]GASTOS MATRIZ'!F212</f>
        <v>Adquisición de Inmuebles</v>
      </c>
      <c r="H216" s="389">
        <f>'[1]GASTOS MATRIZ'!G212</f>
        <v>0</v>
      </c>
      <c r="I216" s="389">
        <f>'[1]GASTOS MATRIZ'!H212</f>
        <v>0</v>
      </c>
      <c r="J216" s="389">
        <f>H216+I216</f>
        <v>0</v>
      </c>
      <c r="K216" s="389">
        <f>'[1]RESU X MES'!H202</f>
        <v>0</v>
      </c>
      <c r="L216" s="389">
        <f>'[1]RESU X MES'!H460</f>
        <v>0</v>
      </c>
      <c r="M216" s="389">
        <f>'[1]RESU X MES'!H719</f>
        <v>0</v>
      </c>
      <c r="N216" s="389">
        <v>0</v>
      </c>
      <c r="O216" s="389">
        <f>+K216+L216+M216+N216</f>
        <v>0</v>
      </c>
      <c r="P216" s="389">
        <v>0</v>
      </c>
      <c r="Q216" s="389">
        <v>0</v>
      </c>
      <c r="R216" s="389"/>
      <c r="S216" s="389"/>
      <c r="T216" s="389">
        <f>SUM(K216:P216)</f>
        <v>0</v>
      </c>
      <c r="U216" s="389">
        <f>'[1]RESU X MES'!H1243</f>
        <v>0</v>
      </c>
      <c r="V216" s="389">
        <f>'[1]RESU X MES'!H1505</f>
        <v>0</v>
      </c>
      <c r="W216" s="389">
        <f>'[1]RESU X MES'!H1768</f>
        <v>0</v>
      </c>
      <c r="X216" s="389">
        <f>'[1]RESU X MES'!H2029</f>
        <v>0</v>
      </c>
      <c r="Y216" s="389">
        <f>SUM(U216:X216)</f>
        <v>0</v>
      </c>
      <c r="Z216" s="389">
        <f aca="true" t="shared" si="63" ref="Z216:Z269">T216+Y216</f>
        <v>0</v>
      </c>
      <c r="AA216" s="389">
        <f>'[1]RESU X MES'!H2288</f>
        <v>0</v>
      </c>
      <c r="AB216" s="389">
        <f>'[1]RESU X MES'!H2550</f>
        <v>0</v>
      </c>
      <c r="AC216" s="389">
        <f>'[1]RESU X MES'!H2812</f>
        <v>0</v>
      </c>
      <c r="AD216" s="389">
        <f>'[1]RESU X MES'!H3076</f>
        <v>0</v>
      </c>
      <c r="AE216" s="389">
        <f>SUM(AA216:AD216)</f>
        <v>0</v>
      </c>
      <c r="AF216" s="389">
        <f t="shared" si="47"/>
        <v>0</v>
      </c>
      <c r="AG216" s="389">
        <f>J216-AF216</f>
        <v>0</v>
      </c>
      <c r="AH216" s="389">
        <f>AF216-AI216</f>
        <v>0</v>
      </c>
      <c r="AI216" s="389">
        <f>'[1]RESU X MES'!N202+'[1]RESU X MES'!N460+'[1]RESU X MES'!N719+'[1]RESU X MES'!N982+'[1]RESU X MES'!N1243+'[1]RESU X MES'!N1505+'[1]RESU X MES'!N1768+'[1]RESU X MES'!N2029+'[1]RESU X MES'!N2288+'[1]RESU X MES'!N2550+'[1]RESU X MES'!N2812+'[1]RESU X MES'!N3076</f>
        <v>0</v>
      </c>
    </row>
    <row r="217" spans="2:35" ht="15" customHeight="1" hidden="1">
      <c r="B217" s="391"/>
      <c r="C217" s="391"/>
      <c r="D217" s="386"/>
      <c r="E217" s="387"/>
      <c r="F217" s="387"/>
      <c r="G217" s="391"/>
      <c r="H217" s="389"/>
      <c r="I217" s="389"/>
      <c r="J217" s="389"/>
      <c r="K217" s="389"/>
      <c r="L217" s="389"/>
      <c r="M217" s="389"/>
      <c r="N217" s="389"/>
      <c r="O217" s="389"/>
      <c r="P217" s="389"/>
      <c r="Q217" s="389"/>
      <c r="R217" s="389"/>
      <c r="S217" s="389"/>
      <c r="T217" s="389"/>
      <c r="U217" s="389"/>
      <c r="V217" s="389"/>
      <c r="W217" s="389"/>
      <c r="X217" s="389"/>
      <c r="Y217" s="389"/>
      <c r="Z217" s="389">
        <f t="shared" si="63"/>
        <v>0</v>
      </c>
      <c r="AA217" s="389"/>
      <c r="AB217" s="389"/>
      <c r="AC217" s="389"/>
      <c r="AD217" s="389"/>
      <c r="AE217" s="389"/>
      <c r="AF217" s="389">
        <f t="shared" si="47"/>
        <v>0</v>
      </c>
      <c r="AG217" s="389"/>
      <c r="AH217" s="389"/>
      <c r="AI217" s="389"/>
    </row>
    <row r="218" spans="2:35" ht="14.25">
      <c r="B218" s="383"/>
      <c r="C218" s="383"/>
      <c r="D218" s="381"/>
      <c r="E218" s="390"/>
      <c r="F218" s="390"/>
      <c r="G218" s="383"/>
      <c r="H218" s="382"/>
      <c r="I218" s="382"/>
      <c r="J218" s="382"/>
      <c r="K218" s="382"/>
      <c r="L218" s="382"/>
      <c r="M218" s="382"/>
      <c r="N218" s="382"/>
      <c r="O218" s="382"/>
      <c r="P218" s="382"/>
      <c r="Q218" s="382"/>
      <c r="R218" s="382"/>
      <c r="S218" s="382"/>
      <c r="T218" s="382"/>
      <c r="U218" s="382"/>
      <c r="V218" s="382"/>
      <c r="W218" s="382"/>
      <c r="X218" s="382"/>
      <c r="Y218" s="382"/>
      <c r="Z218" s="382">
        <f t="shared" si="63"/>
        <v>0</v>
      </c>
      <c r="AA218" s="382"/>
      <c r="AB218" s="382"/>
      <c r="AC218" s="382"/>
      <c r="AD218" s="382"/>
      <c r="AE218" s="382"/>
      <c r="AF218" s="382">
        <f t="shared" si="47"/>
        <v>0</v>
      </c>
      <c r="AG218" s="382"/>
      <c r="AH218" s="382"/>
      <c r="AI218" s="382"/>
    </row>
    <row r="219" spans="2:35" ht="14.25">
      <c r="B219" s="383"/>
      <c r="C219" s="383">
        <f>'[1]GASTOS MATRIZ'!B215</f>
        <v>520</v>
      </c>
      <c r="D219" s="381"/>
      <c r="E219" s="390"/>
      <c r="F219" s="390"/>
      <c r="G219" s="383" t="str">
        <f>'[1]GASTOS MATRIZ'!F215</f>
        <v>Construcciones</v>
      </c>
      <c r="H219" s="382">
        <f aca="true" t="shared" si="64" ref="H219:AI219">SUM(H220:H224)</f>
        <v>750000000</v>
      </c>
      <c r="I219" s="382">
        <f t="shared" si="64"/>
        <v>-50000000</v>
      </c>
      <c r="J219" s="382">
        <f t="shared" si="64"/>
        <v>700000000</v>
      </c>
      <c r="K219" s="382">
        <f t="shared" si="64"/>
        <v>0</v>
      </c>
      <c r="L219" s="382">
        <f t="shared" si="64"/>
        <v>0</v>
      </c>
      <c r="M219" s="382">
        <f t="shared" si="64"/>
        <v>0</v>
      </c>
      <c r="N219" s="382">
        <f t="shared" si="64"/>
        <v>137000000</v>
      </c>
      <c r="O219" s="382">
        <f t="shared" si="64"/>
        <v>137000000</v>
      </c>
      <c r="P219" s="382">
        <f t="shared" si="64"/>
        <v>0</v>
      </c>
      <c r="Q219" s="382">
        <f t="shared" si="64"/>
        <v>0</v>
      </c>
      <c r="R219" s="382">
        <f t="shared" si="64"/>
        <v>0</v>
      </c>
      <c r="S219" s="382">
        <f t="shared" si="64"/>
        <v>0</v>
      </c>
      <c r="T219" s="382">
        <f t="shared" si="64"/>
        <v>274000000</v>
      </c>
      <c r="U219" s="382">
        <f t="shared" si="64"/>
        <v>0</v>
      </c>
      <c r="V219" s="382">
        <f t="shared" si="64"/>
        <v>0</v>
      </c>
      <c r="W219" s="382">
        <f t="shared" si="64"/>
        <v>0</v>
      </c>
      <c r="X219" s="382">
        <f t="shared" si="64"/>
        <v>0</v>
      </c>
      <c r="Y219" s="382">
        <f t="shared" si="64"/>
        <v>0</v>
      </c>
      <c r="Z219" s="382">
        <f t="shared" si="64"/>
        <v>274000000</v>
      </c>
      <c r="AA219" s="382">
        <f t="shared" si="64"/>
        <v>0</v>
      </c>
      <c r="AB219" s="382">
        <f t="shared" si="64"/>
        <v>0</v>
      </c>
      <c r="AC219" s="382">
        <f t="shared" si="64"/>
        <v>0</v>
      </c>
      <c r="AD219" s="382">
        <f t="shared" si="64"/>
        <v>0</v>
      </c>
      <c r="AE219" s="382">
        <f t="shared" si="64"/>
        <v>0</v>
      </c>
      <c r="AF219" s="382">
        <f t="shared" si="47"/>
        <v>137000000</v>
      </c>
      <c r="AG219" s="382">
        <f t="shared" si="64"/>
        <v>563000000</v>
      </c>
      <c r="AH219" s="382">
        <f t="shared" si="64"/>
        <v>137000000</v>
      </c>
      <c r="AI219" s="382">
        <f t="shared" si="64"/>
        <v>0</v>
      </c>
    </row>
    <row r="220" spans="2:35" ht="14.25">
      <c r="B220" s="391"/>
      <c r="C220" s="391"/>
      <c r="D220" s="386">
        <f>'[1]GASTOS MATRIZ'!C216</f>
        <v>520</v>
      </c>
      <c r="E220" s="387" t="str">
        <f>'[1]GASTOS MATRIZ'!D216</f>
        <v>30</v>
      </c>
      <c r="F220" s="387" t="str">
        <f>'[1]GASTOS MATRIZ'!E216</f>
        <v>011</v>
      </c>
      <c r="G220" s="391" t="str">
        <f>'[1]GASTOS MATRIZ'!F216</f>
        <v>Construcciones</v>
      </c>
      <c r="H220" s="389">
        <f>'[1]GASTOS MATRIZ'!G216</f>
        <v>750000000</v>
      </c>
      <c r="I220" s="389">
        <f>'[1]GASTOS MATRIZ'!H216</f>
        <v>-50000000</v>
      </c>
      <c r="J220" s="389">
        <f>H220+I220</f>
        <v>700000000</v>
      </c>
      <c r="K220" s="389">
        <f>'[1]RESU X MES'!H206</f>
        <v>0</v>
      </c>
      <c r="L220" s="389">
        <f>'[1]RESU X MES'!H464</f>
        <v>0</v>
      </c>
      <c r="M220" s="389">
        <f>'[1]RESU X MES'!H723</f>
        <v>0</v>
      </c>
      <c r="N220" s="389">
        <v>137000000</v>
      </c>
      <c r="O220" s="389">
        <f>+K220+L220+M220+N220</f>
        <v>137000000</v>
      </c>
      <c r="P220" s="389">
        <v>0</v>
      </c>
      <c r="Q220" s="389">
        <v>0</v>
      </c>
      <c r="R220" s="389"/>
      <c r="S220" s="389"/>
      <c r="T220" s="389">
        <f>SUM(K220:P220)</f>
        <v>274000000</v>
      </c>
      <c r="U220" s="389">
        <f>'[1]RESU X MES'!H1247</f>
        <v>0</v>
      </c>
      <c r="V220" s="389">
        <f>'[1]RESU X MES'!H1509</f>
        <v>0</v>
      </c>
      <c r="W220" s="389">
        <f>'[1]RESU X MES'!H1772</f>
        <v>0</v>
      </c>
      <c r="X220" s="389">
        <f>'[1]RESU X MES'!H2033</f>
        <v>0</v>
      </c>
      <c r="Y220" s="389">
        <f>SUM(U220:X220)</f>
        <v>0</v>
      </c>
      <c r="Z220" s="389">
        <f t="shared" si="63"/>
        <v>274000000</v>
      </c>
      <c r="AA220" s="389">
        <f>'[1]RESU X MES'!H2292</f>
        <v>0</v>
      </c>
      <c r="AB220" s="389">
        <f>'[1]RESU X MES'!H2554</f>
        <v>0</v>
      </c>
      <c r="AC220" s="389">
        <f>'[1]RESU X MES'!H2816</f>
        <v>0</v>
      </c>
      <c r="AD220" s="389">
        <f>'[1]RESU X MES'!H3080</f>
        <v>0</v>
      </c>
      <c r="AE220" s="389">
        <f>SUM(AA220:AD220)</f>
        <v>0</v>
      </c>
      <c r="AF220" s="389">
        <f t="shared" si="47"/>
        <v>137000000</v>
      </c>
      <c r="AG220" s="389">
        <f>J220-AF220</f>
        <v>563000000</v>
      </c>
      <c r="AH220" s="389">
        <f>AF220-AI220</f>
        <v>137000000</v>
      </c>
      <c r="AI220" s="389">
        <f>'[1]RESU X MES'!N206+'[1]RESU X MES'!N464+'[1]RESU X MES'!N723+'[1]RESU X MES'!N986+'[1]RESU X MES'!N1247+'[1]RESU X MES'!N1509+'[1]RESU X MES'!N1772+'[1]RESU X MES'!N2033+'[1]RESU X MES'!N2292+'[1]RESU X MES'!N2554+'[1]RESU X MES'!N2816+'[1]RESU X MES'!N3080</f>
        <v>0</v>
      </c>
    </row>
    <row r="221" spans="2:35" ht="15" customHeight="1" hidden="1">
      <c r="B221" s="391"/>
      <c r="C221" s="391"/>
      <c r="D221" s="386"/>
      <c r="E221" s="387"/>
      <c r="F221" s="387"/>
      <c r="G221" s="391"/>
      <c r="H221" s="389"/>
      <c r="I221" s="389"/>
      <c r="J221" s="389"/>
      <c r="K221" s="389"/>
      <c r="L221" s="389"/>
      <c r="M221" s="389"/>
      <c r="N221" s="389"/>
      <c r="O221" s="389"/>
      <c r="P221" s="389"/>
      <c r="Q221" s="389"/>
      <c r="R221" s="389"/>
      <c r="S221" s="389"/>
      <c r="T221" s="389"/>
      <c r="U221" s="389"/>
      <c r="V221" s="389"/>
      <c r="W221" s="389"/>
      <c r="X221" s="389"/>
      <c r="Y221" s="389"/>
      <c r="Z221" s="389">
        <f t="shared" si="63"/>
        <v>0</v>
      </c>
      <c r="AA221" s="389"/>
      <c r="AB221" s="389"/>
      <c r="AC221" s="389"/>
      <c r="AD221" s="389"/>
      <c r="AE221" s="389"/>
      <c r="AF221" s="389">
        <f t="shared" si="47"/>
        <v>0</v>
      </c>
      <c r="AG221" s="389"/>
      <c r="AH221" s="389"/>
      <c r="AI221" s="389"/>
    </row>
    <row r="222" spans="2:35" ht="15" customHeight="1" hidden="1">
      <c r="B222" s="391"/>
      <c r="C222" s="391"/>
      <c r="D222" s="386"/>
      <c r="E222" s="387"/>
      <c r="F222" s="387"/>
      <c r="G222" s="391"/>
      <c r="H222" s="389"/>
      <c r="I222" s="389"/>
      <c r="J222" s="389"/>
      <c r="K222" s="389"/>
      <c r="L222" s="389"/>
      <c r="M222" s="389"/>
      <c r="N222" s="389"/>
      <c r="O222" s="389"/>
      <c r="P222" s="389"/>
      <c r="Q222" s="389"/>
      <c r="R222" s="389"/>
      <c r="S222" s="389"/>
      <c r="T222" s="389"/>
      <c r="U222" s="389"/>
      <c r="V222" s="389"/>
      <c r="W222" s="389"/>
      <c r="X222" s="389"/>
      <c r="Y222" s="389"/>
      <c r="Z222" s="389">
        <f t="shared" si="63"/>
        <v>0</v>
      </c>
      <c r="AA222" s="389"/>
      <c r="AB222" s="389"/>
      <c r="AC222" s="389"/>
      <c r="AD222" s="389"/>
      <c r="AE222" s="389"/>
      <c r="AF222" s="389">
        <f t="shared" si="47"/>
        <v>0</v>
      </c>
      <c r="AG222" s="389"/>
      <c r="AH222" s="389"/>
      <c r="AI222" s="389"/>
    </row>
    <row r="223" spans="2:35" ht="15" customHeight="1" hidden="1">
      <c r="B223" s="391"/>
      <c r="C223" s="391"/>
      <c r="D223" s="386"/>
      <c r="E223" s="387"/>
      <c r="F223" s="387"/>
      <c r="G223" s="391"/>
      <c r="H223" s="389"/>
      <c r="I223" s="389"/>
      <c r="J223" s="389"/>
      <c r="K223" s="389"/>
      <c r="L223" s="389"/>
      <c r="M223" s="389"/>
      <c r="N223" s="389"/>
      <c r="O223" s="389"/>
      <c r="P223" s="389"/>
      <c r="Q223" s="389"/>
      <c r="R223" s="389"/>
      <c r="S223" s="389"/>
      <c r="T223" s="389"/>
      <c r="U223" s="389"/>
      <c r="V223" s="389"/>
      <c r="W223" s="389"/>
      <c r="X223" s="389"/>
      <c r="Y223" s="389"/>
      <c r="Z223" s="389">
        <f t="shared" si="63"/>
        <v>0</v>
      </c>
      <c r="AA223" s="389"/>
      <c r="AB223" s="389"/>
      <c r="AC223" s="389"/>
      <c r="AD223" s="389"/>
      <c r="AE223" s="389"/>
      <c r="AF223" s="389">
        <f t="shared" si="47"/>
        <v>0</v>
      </c>
      <c r="AG223" s="389"/>
      <c r="AH223" s="389"/>
      <c r="AI223" s="389"/>
    </row>
    <row r="224" spans="2:35" ht="14.25">
      <c r="B224" s="391"/>
      <c r="C224" s="391"/>
      <c r="D224" s="386"/>
      <c r="E224" s="387"/>
      <c r="F224" s="387"/>
      <c r="G224" s="391"/>
      <c r="H224" s="389"/>
      <c r="I224" s="389"/>
      <c r="J224" s="389"/>
      <c r="K224" s="389"/>
      <c r="L224" s="389"/>
      <c r="M224" s="389"/>
      <c r="N224" s="389"/>
      <c r="O224" s="389"/>
      <c r="P224" s="389"/>
      <c r="Q224" s="389"/>
      <c r="R224" s="389"/>
      <c r="S224" s="389"/>
      <c r="T224" s="389"/>
      <c r="U224" s="389"/>
      <c r="V224" s="389"/>
      <c r="W224" s="389"/>
      <c r="X224" s="389"/>
      <c r="Y224" s="389"/>
      <c r="Z224" s="389">
        <f t="shared" si="63"/>
        <v>0</v>
      </c>
      <c r="AA224" s="389"/>
      <c r="AB224" s="389"/>
      <c r="AC224" s="389"/>
      <c r="AD224" s="389"/>
      <c r="AE224" s="389"/>
      <c r="AF224" s="389">
        <f t="shared" si="47"/>
        <v>0</v>
      </c>
      <c r="AG224" s="389"/>
      <c r="AH224" s="389"/>
      <c r="AI224" s="389"/>
    </row>
    <row r="225" spans="2:35" ht="28.5">
      <c r="B225" s="381"/>
      <c r="C225" s="381">
        <f>'[1]GASTOS MATRIZ'!B221</f>
        <v>530</v>
      </c>
      <c r="D225" s="381"/>
      <c r="E225" s="390"/>
      <c r="F225" s="390"/>
      <c r="G225" s="403" t="str">
        <f>'[1]GASTOS MATRIZ'!F221</f>
        <v>Adquisición de Maquinarias, Equipos y Herramientas Mayores</v>
      </c>
      <c r="H225" s="395">
        <f>+H226</f>
        <v>150000000</v>
      </c>
      <c r="I225" s="395">
        <f aca="true" t="shared" si="65" ref="I225:AI225">+I226</f>
        <v>0</v>
      </c>
      <c r="J225" s="395">
        <f t="shared" si="65"/>
        <v>150000000</v>
      </c>
      <c r="K225" s="395">
        <f t="shared" si="65"/>
        <v>0</v>
      </c>
      <c r="L225" s="395">
        <f t="shared" si="65"/>
        <v>0</v>
      </c>
      <c r="M225" s="395">
        <f t="shared" si="65"/>
        <v>0</v>
      </c>
      <c r="N225" s="395">
        <f t="shared" si="65"/>
        <v>0</v>
      </c>
      <c r="O225" s="395">
        <f t="shared" si="65"/>
        <v>0</v>
      </c>
      <c r="P225" s="395">
        <f t="shared" si="65"/>
        <v>0</v>
      </c>
      <c r="Q225" s="395">
        <f t="shared" si="65"/>
        <v>0</v>
      </c>
      <c r="R225" s="395">
        <f t="shared" si="65"/>
        <v>0</v>
      </c>
      <c r="S225" s="395">
        <f t="shared" si="65"/>
        <v>0</v>
      </c>
      <c r="T225" s="395">
        <f t="shared" si="65"/>
        <v>0</v>
      </c>
      <c r="U225" s="395">
        <f t="shared" si="65"/>
        <v>0</v>
      </c>
      <c r="V225" s="395">
        <f t="shared" si="65"/>
        <v>0</v>
      </c>
      <c r="W225" s="395">
        <f t="shared" si="65"/>
        <v>0</v>
      </c>
      <c r="X225" s="395">
        <f t="shared" si="65"/>
        <v>0</v>
      </c>
      <c r="Y225" s="395">
        <f t="shared" si="65"/>
        <v>0</v>
      </c>
      <c r="Z225" s="395">
        <f t="shared" si="65"/>
        <v>0</v>
      </c>
      <c r="AA225" s="395">
        <f t="shared" si="65"/>
        <v>0</v>
      </c>
      <c r="AB225" s="395">
        <f t="shared" si="65"/>
        <v>0</v>
      </c>
      <c r="AC225" s="395">
        <f t="shared" si="65"/>
        <v>0</v>
      </c>
      <c r="AD225" s="395">
        <f t="shared" si="65"/>
        <v>0</v>
      </c>
      <c r="AE225" s="395">
        <f t="shared" si="65"/>
        <v>0</v>
      </c>
      <c r="AF225" s="395">
        <f t="shared" si="47"/>
        <v>0</v>
      </c>
      <c r="AG225" s="395">
        <f t="shared" si="65"/>
        <v>150000000</v>
      </c>
      <c r="AH225" s="395">
        <f t="shared" si="65"/>
        <v>0</v>
      </c>
      <c r="AI225" s="395">
        <f t="shared" si="65"/>
        <v>0</v>
      </c>
    </row>
    <row r="226" spans="2:35" ht="14.25">
      <c r="B226" s="391"/>
      <c r="C226" s="391"/>
      <c r="D226" s="386">
        <f>'[1]GASTOS MATRIZ'!C222</f>
        <v>530</v>
      </c>
      <c r="E226" s="387" t="str">
        <f>'[1]GASTOS MATRIZ'!D222</f>
        <v>30</v>
      </c>
      <c r="F226" s="387" t="str">
        <f>'[1]GASTOS MATRIZ'!E222</f>
        <v>011</v>
      </c>
      <c r="G226" s="391" t="str">
        <f>'[1]GASTOS MATRIZ'!F222</f>
        <v>Adquisición de Maq., Equipos y Herramientas Mayores</v>
      </c>
      <c r="H226" s="389">
        <f>'[1]GASTOS MATRIZ'!G222</f>
        <v>150000000</v>
      </c>
      <c r="I226" s="389">
        <f>'[1]GASTOS MATRIZ'!H222</f>
        <v>0</v>
      </c>
      <c r="J226" s="389">
        <f>H226+I226</f>
        <v>150000000</v>
      </c>
      <c r="K226" s="389">
        <f>'[1]RESU X MES'!H212</f>
        <v>0</v>
      </c>
      <c r="L226" s="389">
        <f>'[1]RESU X MES'!H470</f>
        <v>0</v>
      </c>
      <c r="M226" s="389">
        <f>'[1]RESU X MES'!H729</f>
        <v>0</v>
      </c>
      <c r="N226" s="389">
        <v>0</v>
      </c>
      <c r="O226" s="389">
        <f>+K226+L226+M226+N226</f>
        <v>0</v>
      </c>
      <c r="P226" s="389">
        <v>0</v>
      </c>
      <c r="Q226" s="389">
        <v>0</v>
      </c>
      <c r="R226" s="389"/>
      <c r="S226" s="389"/>
      <c r="T226" s="389">
        <f>SUM(K226:P226)</f>
        <v>0</v>
      </c>
      <c r="U226" s="389">
        <f>'[1]RESU X MES'!H1253</f>
        <v>0</v>
      </c>
      <c r="V226" s="389">
        <f>'[1]RESU X MES'!H1515</f>
        <v>0</v>
      </c>
      <c r="W226" s="389">
        <f>'[1]RESU X MES'!H1778</f>
        <v>0</v>
      </c>
      <c r="X226" s="389">
        <f>'[1]RESU X MES'!H2039</f>
        <v>0</v>
      </c>
      <c r="Y226" s="389">
        <f>SUM(U226:X226)</f>
        <v>0</v>
      </c>
      <c r="Z226" s="389">
        <f t="shared" si="63"/>
        <v>0</v>
      </c>
      <c r="AA226" s="389">
        <f>'[1]RESU X MES'!H2298</f>
        <v>0</v>
      </c>
      <c r="AB226" s="389">
        <f>'[1]RESU X MES'!H2560</f>
        <v>0</v>
      </c>
      <c r="AC226" s="389">
        <f>'[1]RESU X MES'!H2822</f>
        <v>0</v>
      </c>
      <c r="AD226" s="389">
        <f>'[1]RESU X MES'!H3086</f>
        <v>0</v>
      </c>
      <c r="AE226" s="389">
        <f>SUM(AA226:AD226)</f>
        <v>0</v>
      </c>
      <c r="AF226" s="389">
        <f t="shared" si="47"/>
        <v>0</v>
      </c>
      <c r="AG226" s="389">
        <f>J226-AF226</f>
        <v>150000000</v>
      </c>
      <c r="AH226" s="389">
        <f>AF226-AI226</f>
        <v>0</v>
      </c>
      <c r="AI226" s="389">
        <f>'[1]RESU X MES'!N212+'[1]RESU X MES'!N470+'[1]RESU X MES'!N729+'[1]RESU X MES'!N992+'[1]RESU X MES'!N1253+'[1]RESU X MES'!N1515+'[1]RESU X MES'!N1778+'[1]RESU X MES'!N2039+'[1]RESU X MES'!N2298+'[1]RESU X MES'!N2560+'[1]RESU X MES'!N2822+'[1]RESU X MES'!N3086</f>
        <v>0</v>
      </c>
    </row>
    <row r="227" spans="2:35" ht="15" customHeight="1" hidden="1">
      <c r="B227" s="391"/>
      <c r="C227" s="391"/>
      <c r="D227" s="386"/>
      <c r="E227" s="387"/>
      <c r="F227" s="387"/>
      <c r="G227" s="391"/>
      <c r="H227" s="389"/>
      <c r="I227" s="389"/>
      <c r="J227" s="389"/>
      <c r="K227" s="389"/>
      <c r="L227" s="389"/>
      <c r="M227" s="389"/>
      <c r="N227" s="389"/>
      <c r="O227" s="389"/>
      <c r="P227" s="389"/>
      <c r="Q227" s="389"/>
      <c r="R227" s="389"/>
      <c r="S227" s="389"/>
      <c r="T227" s="389"/>
      <c r="U227" s="389"/>
      <c r="V227" s="389"/>
      <c r="W227" s="389"/>
      <c r="X227" s="389"/>
      <c r="Y227" s="389"/>
      <c r="Z227" s="389">
        <f t="shared" si="63"/>
        <v>0</v>
      </c>
      <c r="AA227" s="389"/>
      <c r="AB227" s="389"/>
      <c r="AC227" s="389"/>
      <c r="AD227" s="389"/>
      <c r="AE227" s="389"/>
      <c r="AF227" s="389">
        <f t="shared" si="47"/>
        <v>0</v>
      </c>
      <c r="AG227" s="389"/>
      <c r="AH227" s="389"/>
      <c r="AI227" s="389"/>
    </row>
    <row r="228" spans="2:35" ht="15" customHeight="1" hidden="1">
      <c r="B228" s="391"/>
      <c r="C228" s="391"/>
      <c r="D228" s="386"/>
      <c r="E228" s="387"/>
      <c r="F228" s="387"/>
      <c r="G228" s="391"/>
      <c r="H228" s="389"/>
      <c r="I228" s="389"/>
      <c r="J228" s="389"/>
      <c r="K228" s="389"/>
      <c r="L228" s="389"/>
      <c r="M228" s="389"/>
      <c r="N228" s="389"/>
      <c r="O228" s="389"/>
      <c r="P228" s="389"/>
      <c r="Q228" s="389"/>
      <c r="R228" s="389"/>
      <c r="S228" s="389"/>
      <c r="T228" s="389"/>
      <c r="U228" s="389"/>
      <c r="V228" s="389"/>
      <c r="W228" s="389"/>
      <c r="X228" s="389"/>
      <c r="Y228" s="389"/>
      <c r="Z228" s="389">
        <f t="shared" si="63"/>
        <v>0</v>
      </c>
      <c r="AA228" s="389"/>
      <c r="AB228" s="389"/>
      <c r="AC228" s="389"/>
      <c r="AD228" s="389"/>
      <c r="AE228" s="389"/>
      <c r="AF228" s="389">
        <f t="shared" si="47"/>
        <v>0</v>
      </c>
      <c r="AG228" s="389"/>
      <c r="AH228" s="389"/>
      <c r="AI228" s="389"/>
    </row>
    <row r="229" spans="2:35" ht="15" customHeight="1" hidden="1">
      <c r="B229" s="391"/>
      <c r="C229" s="391"/>
      <c r="D229" s="387"/>
      <c r="E229" s="387"/>
      <c r="F229" s="387"/>
      <c r="G229" s="391"/>
      <c r="H229" s="389"/>
      <c r="I229" s="389"/>
      <c r="J229" s="389"/>
      <c r="K229" s="389"/>
      <c r="L229" s="389"/>
      <c r="M229" s="389"/>
      <c r="N229" s="389"/>
      <c r="O229" s="389"/>
      <c r="P229" s="389"/>
      <c r="Q229" s="389"/>
      <c r="R229" s="389"/>
      <c r="S229" s="389"/>
      <c r="T229" s="389"/>
      <c r="U229" s="389"/>
      <c r="V229" s="389"/>
      <c r="W229" s="389"/>
      <c r="X229" s="389"/>
      <c r="Y229" s="389"/>
      <c r="Z229" s="389">
        <f t="shared" si="63"/>
        <v>0</v>
      </c>
      <c r="AA229" s="389"/>
      <c r="AB229" s="389"/>
      <c r="AC229" s="389"/>
      <c r="AD229" s="389"/>
      <c r="AE229" s="389"/>
      <c r="AF229" s="389">
        <f t="shared" si="47"/>
        <v>0</v>
      </c>
      <c r="AG229" s="389"/>
      <c r="AH229" s="389"/>
      <c r="AI229" s="389"/>
    </row>
    <row r="230" spans="2:35" ht="14.25">
      <c r="B230" s="391"/>
      <c r="C230" s="387"/>
      <c r="D230" s="387"/>
      <c r="E230" s="387"/>
      <c r="F230" s="387"/>
      <c r="G230" s="391"/>
      <c r="H230" s="389"/>
      <c r="I230" s="389"/>
      <c r="J230" s="389"/>
      <c r="K230" s="389"/>
      <c r="L230" s="389"/>
      <c r="M230" s="389"/>
      <c r="N230" s="389"/>
      <c r="O230" s="389"/>
      <c r="P230" s="389"/>
      <c r="Q230" s="389"/>
      <c r="R230" s="389"/>
      <c r="S230" s="389"/>
      <c r="T230" s="389"/>
      <c r="U230" s="389"/>
      <c r="V230" s="389"/>
      <c r="W230" s="389"/>
      <c r="X230" s="389"/>
      <c r="Y230" s="389"/>
      <c r="Z230" s="389">
        <f t="shared" si="63"/>
        <v>0</v>
      </c>
      <c r="AA230" s="389"/>
      <c r="AB230" s="389"/>
      <c r="AC230" s="389"/>
      <c r="AD230" s="389"/>
      <c r="AE230" s="389"/>
      <c r="AF230" s="389">
        <f t="shared" si="47"/>
        <v>0</v>
      </c>
      <c r="AG230" s="389"/>
      <c r="AH230" s="389"/>
      <c r="AI230" s="389"/>
    </row>
    <row r="231" spans="2:35" ht="28.5">
      <c r="B231" s="381"/>
      <c r="C231" s="381">
        <f>'[1]GASTOS MATRIZ'!B227</f>
        <v>540</v>
      </c>
      <c r="D231" s="381"/>
      <c r="E231" s="390"/>
      <c r="F231" s="390"/>
      <c r="G231" s="403" t="str">
        <f>'[1]GASTOS MATRIZ'!F227</f>
        <v>Adquisición de Equipos de Oficina y Computación</v>
      </c>
      <c r="H231" s="395">
        <f>SUM(H232:H236)</f>
        <v>21117072</v>
      </c>
      <c r="I231" s="395">
        <f aca="true" t="shared" si="66" ref="I231:AI231">SUM(I232:I236)</f>
        <v>0</v>
      </c>
      <c r="J231" s="395">
        <f t="shared" si="66"/>
        <v>21117072</v>
      </c>
      <c r="K231" s="395">
        <f t="shared" si="66"/>
        <v>0</v>
      </c>
      <c r="L231" s="395">
        <f t="shared" si="66"/>
        <v>0</v>
      </c>
      <c r="M231" s="395">
        <f t="shared" si="66"/>
        <v>0</v>
      </c>
      <c r="N231" s="395">
        <f t="shared" si="66"/>
        <v>0</v>
      </c>
      <c r="O231" s="395">
        <f t="shared" si="66"/>
        <v>0</v>
      </c>
      <c r="P231" s="395">
        <f t="shared" si="66"/>
        <v>0</v>
      </c>
      <c r="Q231" s="395">
        <f t="shared" si="66"/>
        <v>0</v>
      </c>
      <c r="R231" s="395">
        <f t="shared" si="66"/>
        <v>0</v>
      </c>
      <c r="S231" s="395">
        <f t="shared" si="66"/>
        <v>0</v>
      </c>
      <c r="T231" s="395">
        <f t="shared" si="66"/>
        <v>0</v>
      </c>
      <c r="U231" s="395">
        <f t="shared" si="66"/>
        <v>0</v>
      </c>
      <c r="V231" s="395">
        <f t="shared" si="66"/>
        <v>0</v>
      </c>
      <c r="W231" s="395">
        <f t="shared" si="66"/>
        <v>0</v>
      </c>
      <c r="X231" s="395">
        <f t="shared" si="66"/>
        <v>0</v>
      </c>
      <c r="Y231" s="395">
        <f t="shared" si="66"/>
        <v>0</v>
      </c>
      <c r="Z231" s="395">
        <f t="shared" si="66"/>
        <v>0</v>
      </c>
      <c r="AA231" s="395">
        <f t="shared" si="66"/>
        <v>0</v>
      </c>
      <c r="AB231" s="395">
        <f t="shared" si="66"/>
        <v>0</v>
      </c>
      <c r="AC231" s="395">
        <f t="shared" si="66"/>
        <v>0</v>
      </c>
      <c r="AD231" s="395">
        <f t="shared" si="66"/>
        <v>0</v>
      </c>
      <c r="AE231" s="395">
        <f t="shared" si="66"/>
        <v>0</v>
      </c>
      <c r="AF231" s="395">
        <f t="shared" si="47"/>
        <v>0</v>
      </c>
      <c r="AG231" s="395">
        <f t="shared" si="66"/>
        <v>21117072</v>
      </c>
      <c r="AH231" s="395">
        <f t="shared" si="66"/>
        <v>0</v>
      </c>
      <c r="AI231" s="395">
        <f t="shared" si="66"/>
        <v>0</v>
      </c>
    </row>
    <row r="232" spans="2:35" ht="14.25">
      <c r="B232" s="391"/>
      <c r="C232" s="391"/>
      <c r="D232" s="386">
        <f>'[1]GASTOS MATRIZ'!C228</f>
        <v>540</v>
      </c>
      <c r="E232" s="387" t="str">
        <f>'[1]GASTOS MATRIZ'!D228</f>
        <v>30</v>
      </c>
      <c r="F232" s="387" t="str">
        <f>'[1]GASTOS MATRIZ'!E228</f>
        <v>011</v>
      </c>
      <c r="G232" s="391" t="str">
        <f>'[1]GASTOS MATRIZ'!F228</f>
        <v>Adquisición de Equipos de Oficina y Computación</v>
      </c>
      <c r="H232" s="389">
        <f>'[1]GASTOS MATRIZ'!G228</f>
        <v>21117072</v>
      </c>
      <c r="I232" s="389">
        <f>'[1]GASTOS MATRIZ'!H228</f>
        <v>0</v>
      </c>
      <c r="J232" s="389">
        <f>H232+I232</f>
        <v>21117072</v>
      </c>
      <c r="K232" s="389">
        <f>'[1]RESU X MES'!H218</f>
        <v>0</v>
      </c>
      <c r="L232" s="389">
        <f>'[1]RESU X MES'!H476</f>
        <v>0</v>
      </c>
      <c r="M232" s="389">
        <f>'[1]RESU X MES'!H735</f>
        <v>0</v>
      </c>
      <c r="N232" s="389">
        <v>0</v>
      </c>
      <c r="O232" s="389">
        <f>+K232+L232+M232+N232</f>
        <v>0</v>
      </c>
      <c r="P232" s="389">
        <v>0</v>
      </c>
      <c r="Q232" s="389">
        <v>0</v>
      </c>
      <c r="R232" s="389"/>
      <c r="S232" s="389"/>
      <c r="T232" s="389">
        <f>SUM(K232:P232)</f>
        <v>0</v>
      </c>
      <c r="U232" s="389">
        <f>'[1]RESU X MES'!H1259</f>
        <v>0</v>
      </c>
      <c r="V232" s="389">
        <f>'[1]RESU X MES'!H1521</f>
        <v>0</v>
      </c>
      <c r="W232" s="389">
        <f>'[1]RESU X MES'!H1784</f>
        <v>0</v>
      </c>
      <c r="X232" s="389">
        <f>'[1]RESU X MES'!H2045</f>
        <v>0</v>
      </c>
      <c r="Y232" s="389">
        <f>SUM(U232:X232)</f>
        <v>0</v>
      </c>
      <c r="Z232" s="389">
        <f t="shared" si="63"/>
        <v>0</v>
      </c>
      <c r="AA232" s="389">
        <f>'[1]RESU X MES'!H2304</f>
        <v>0</v>
      </c>
      <c r="AB232" s="389">
        <f>'[1]RESU X MES'!H2566</f>
        <v>0</v>
      </c>
      <c r="AC232" s="389">
        <f>'[1]RESU X MES'!H2828</f>
        <v>0</v>
      </c>
      <c r="AD232" s="389">
        <f>'[1]RESU X MES'!H3092</f>
        <v>0</v>
      </c>
      <c r="AE232" s="389">
        <f>SUM(AA232:AD232)</f>
        <v>0</v>
      </c>
      <c r="AF232" s="389">
        <f t="shared" si="47"/>
        <v>0</v>
      </c>
      <c r="AG232" s="389">
        <f>J232-AF232</f>
        <v>21117072</v>
      </c>
      <c r="AH232" s="389">
        <f>AF232-AI232</f>
        <v>0</v>
      </c>
      <c r="AI232" s="389">
        <f>'[1]RESU X MES'!N218+'[1]RESU X MES'!N476+'[1]RESU X MES'!N735+'[1]RESU X MES'!N998+'[1]RESU X MES'!N1259+'[1]RESU X MES'!N1521+'[1]RESU X MES'!N1784+'[1]RESU X MES'!N2045+'[1]RESU X MES'!N2304+'[1]RESU X MES'!N2566+'[1]RESU X MES'!N2828+'[1]RESU X MES'!N3092</f>
        <v>0</v>
      </c>
    </row>
    <row r="233" spans="2:35" ht="15" customHeight="1" hidden="1">
      <c r="B233" s="391"/>
      <c r="C233" s="391"/>
      <c r="D233" s="386"/>
      <c r="E233" s="387"/>
      <c r="F233" s="387"/>
      <c r="G233" s="391"/>
      <c r="H233" s="389"/>
      <c r="I233" s="389"/>
      <c r="J233" s="389"/>
      <c r="K233" s="389"/>
      <c r="L233" s="389"/>
      <c r="M233" s="389"/>
      <c r="N233" s="389"/>
      <c r="O233" s="389"/>
      <c r="P233" s="389"/>
      <c r="Q233" s="389"/>
      <c r="R233" s="389"/>
      <c r="S233" s="389"/>
      <c r="T233" s="389"/>
      <c r="U233" s="389"/>
      <c r="V233" s="389"/>
      <c r="W233" s="389"/>
      <c r="X233" s="389"/>
      <c r="Y233" s="389"/>
      <c r="Z233" s="389">
        <f t="shared" si="63"/>
        <v>0</v>
      </c>
      <c r="AA233" s="389"/>
      <c r="AB233" s="389"/>
      <c r="AC233" s="389"/>
      <c r="AD233" s="389"/>
      <c r="AE233" s="389"/>
      <c r="AF233" s="389">
        <f t="shared" si="47"/>
        <v>0</v>
      </c>
      <c r="AG233" s="389"/>
      <c r="AH233" s="389"/>
      <c r="AI233" s="389"/>
    </row>
    <row r="234" spans="2:35" ht="15" customHeight="1" hidden="1">
      <c r="B234" s="391"/>
      <c r="C234" s="391"/>
      <c r="D234" s="386"/>
      <c r="E234" s="387"/>
      <c r="F234" s="387"/>
      <c r="G234" s="391"/>
      <c r="H234" s="389"/>
      <c r="I234" s="389"/>
      <c r="J234" s="389"/>
      <c r="K234" s="389"/>
      <c r="L234" s="389"/>
      <c r="M234" s="389"/>
      <c r="N234" s="389"/>
      <c r="O234" s="389"/>
      <c r="P234" s="389"/>
      <c r="Q234" s="389"/>
      <c r="R234" s="389"/>
      <c r="S234" s="389"/>
      <c r="T234" s="389"/>
      <c r="U234" s="389"/>
      <c r="V234" s="389"/>
      <c r="W234" s="389"/>
      <c r="X234" s="389"/>
      <c r="Y234" s="389"/>
      <c r="Z234" s="389">
        <f t="shared" si="63"/>
        <v>0</v>
      </c>
      <c r="AA234" s="389"/>
      <c r="AB234" s="389"/>
      <c r="AC234" s="389"/>
      <c r="AD234" s="389"/>
      <c r="AE234" s="389"/>
      <c r="AF234" s="389">
        <f t="shared" si="47"/>
        <v>0</v>
      </c>
      <c r="AG234" s="389"/>
      <c r="AH234" s="389"/>
      <c r="AI234" s="389"/>
    </row>
    <row r="235" spans="2:35" ht="15" customHeight="1" hidden="1">
      <c r="B235" s="391"/>
      <c r="C235" s="391"/>
      <c r="D235" s="386"/>
      <c r="E235" s="387"/>
      <c r="F235" s="387"/>
      <c r="G235" s="391"/>
      <c r="H235" s="389"/>
      <c r="I235" s="389"/>
      <c r="J235" s="389"/>
      <c r="K235" s="389"/>
      <c r="L235" s="389"/>
      <c r="M235" s="389"/>
      <c r="N235" s="389"/>
      <c r="O235" s="389"/>
      <c r="P235" s="389"/>
      <c r="Q235" s="389"/>
      <c r="R235" s="389"/>
      <c r="S235" s="389"/>
      <c r="T235" s="389"/>
      <c r="U235" s="389"/>
      <c r="V235" s="389"/>
      <c r="W235" s="389"/>
      <c r="X235" s="389"/>
      <c r="Y235" s="389"/>
      <c r="Z235" s="389">
        <f t="shared" si="63"/>
        <v>0</v>
      </c>
      <c r="AA235" s="389"/>
      <c r="AB235" s="389"/>
      <c r="AC235" s="389"/>
      <c r="AD235" s="389"/>
      <c r="AE235" s="389"/>
      <c r="AF235" s="389">
        <f t="shared" si="47"/>
        <v>0</v>
      </c>
      <c r="AG235" s="389"/>
      <c r="AH235" s="389"/>
      <c r="AI235" s="389"/>
    </row>
    <row r="236" spans="2:35" ht="15" customHeight="1" hidden="1">
      <c r="B236" s="391"/>
      <c r="C236" s="391"/>
      <c r="D236" s="386"/>
      <c r="E236" s="387"/>
      <c r="F236" s="387"/>
      <c r="G236" s="391"/>
      <c r="H236" s="389"/>
      <c r="I236" s="389"/>
      <c r="J236" s="389"/>
      <c r="K236" s="389"/>
      <c r="L236" s="389"/>
      <c r="M236" s="389"/>
      <c r="N236" s="389"/>
      <c r="O236" s="389"/>
      <c r="P236" s="389"/>
      <c r="Q236" s="389"/>
      <c r="R236" s="389"/>
      <c r="S236" s="389"/>
      <c r="T236" s="389"/>
      <c r="U236" s="389"/>
      <c r="V236" s="389"/>
      <c r="W236" s="389"/>
      <c r="X236" s="389"/>
      <c r="Y236" s="389"/>
      <c r="Z236" s="389">
        <f t="shared" si="63"/>
        <v>0</v>
      </c>
      <c r="AA236" s="389"/>
      <c r="AB236" s="389"/>
      <c r="AC236" s="389"/>
      <c r="AD236" s="389"/>
      <c r="AE236" s="389"/>
      <c r="AF236" s="389">
        <f t="shared" si="47"/>
        <v>0</v>
      </c>
      <c r="AG236" s="389"/>
      <c r="AH236" s="389"/>
      <c r="AI236" s="389"/>
    </row>
    <row r="237" spans="2:35" ht="15" customHeight="1" hidden="1">
      <c r="B237" s="383"/>
      <c r="C237" s="383">
        <f>'[1]GASTOS MATRIZ'!B233</f>
        <v>570</v>
      </c>
      <c r="D237" s="381"/>
      <c r="E237" s="390"/>
      <c r="F237" s="390"/>
      <c r="G237" s="383" t="str">
        <f>'[1]GASTOS MATRIZ'!F233</f>
        <v>Adquisición de Activos Intangibles</v>
      </c>
      <c r="H237" s="382">
        <f aca="true" t="shared" si="67" ref="H237:M237">SUM(H238:H240)</f>
        <v>0</v>
      </c>
      <c r="I237" s="382">
        <f t="shared" si="67"/>
        <v>0</v>
      </c>
      <c r="J237" s="382">
        <f t="shared" si="67"/>
        <v>0</v>
      </c>
      <c r="K237" s="382">
        <f t="shared" si="67"/>
        <v>0</v>
      </c>
      <c r="L237" s="382">
        <f t="shared" si="67"/>
        <v>0</v>
      </c>
      <c r="M237" s="382">
        <f t="shared" si="67"/>
        <v>0</v>
      </c>
      <c r="N237" s="382"/>
      <c r="O237" s="382">
        <f>SUM(E237:J237)</f>
        <v>0</v>
      </c>
      <c r="P237" s="382"/>
      <c r="Q237" s="382"/>
      <c r="R237" s="382"/>
      <c r="S237" s="382"/>
      <c r="T237" s="382">
        <f>SUM(K237:P237)</f>
        <v>0</v>
      </c>
      <c r="U237" s="382">
        <f>SUM(U238:U240)</f>
        <v>0</v>
      </c>
      <c r="V237" s="382">
        <f>SUM(V238:V240)</f>
        <v>0</v>
      </c>
      <c r="W237" s="382">
        <f>SUM(W238:W240)</f>
        <v>0</v>
      </c>
      <c r="X237" s="382">
        <f>SUM(X238:X240)</f>
        <v>0</v>
      </c>
      <c r="Y237" s="382">
        <f>SUM(U237:X237)</f>
        <v>0</v>
      </c>
      <c r="Z237" s="382">
        <f t="shared" si="63"/>
        <v>0</v>
      </c>
      <c r="AA237" s="382">
        <f>SUM(AA238:AA240)</f>
        <v>0</v>
      </c>
      <c r="AB237" s="382">
        <f>SUM(AB238:AB240)</f>
        <v>0</v>
      </c>
      <c r="AC237" s="382">
        <f>SUM(AC238:AC240)</f>
        <v>0</v>
      </c>
      <c r="AD237" s="382">
        <f>SUM(AD238:AD240)</f>
        <v>0</v>
      </c>
      <c r="AE237" s="382">
        <f>SUM(AA237:AD237)</f>
        <v>0</v>
      </c>
      <c r="AF237" s="382">
        <f t="shared" si="47"/>
        <v>0</v>
      </c>
      <c r="AG237" s="382">
        <f>SUM(AG238:AG240)</f>
        <v>0</v>
      </c>
      <c r="AH237" s="382">
        <f>SUM(AH238:AH240)</f>
        <v>0</v>
      </c>
      <c r="AI237" s="382">
        <f>SUM(AI238:AI240)</f>
        <v>0</v>
      </c>
    </row>
    <row r="238" spans="2:35" ht="15" customHeight="1" hidden="1">
      <c r="B238" s="391"/>
      <c r="C238" s="391"/>
      <c r="D238" s="386">
        <f>'[1]GASTOS MATRIZ'!C234</f>
        <v>570</v>
      </c>
      <c r="E238" s="387" t="str">
        <f>'[1]GASTOS MATRIZ'!D234</f>
        <v>30</v>
      </c>
      <c r="F238" s="387" t="str">
        <f>'[1]GASTOS MATRIZ'!E234</f>
        <v>011</v>
      </c>
      <c r="G238" s="391" t="str">
        <f>'[1]GASTOS MATRIZ'!F234</f>
        <v>Adquisición de Activos Intangibles</v>
      </c>
      <c r="H238" s="389">
        <f>'[1]GASTOS MATRIZ'!G234</f>
        <v>0</v>
      </c>
      <c r="I238" s="389">
        <f>'[1]GASTOS MATRIZ'!H234</f>
        <v>0</v>
      </c>
      <c r="J238" s="389">
        <f>H238+I238</f>
        <v>0</v>
      </c>
      <c r="K238" s="389">
        <f>'[1]RESU X MES'!H224</f>
        <v>0</v>
      </c>
      <c r="L238" s="389">
        <f>'[1]RESU X MES'!H482</f>
        <v>0</v>
      </c>
      <c r="M238" s="389">
        <f>'[1]RESU X MES'!H741</f>
        <v>0</v>
      </c>
      <c r="N238" s="389"/>
      <c r="O238" s="389">
        <f>SUM(E238:J238)</f>
        <v>0</v>
      </c>
      <c r="P238" s="389"/>
      <c r="Q238" s="389"/>
      <c r="R238" s="389"/>
      <c r="S238" s="389"/>
      <c r="T238" s="389">
        <f>SUM(K238:P238)</f>
        <v>0</v>
      </c>
      <c r="U238" s="389">
        <f>'[1]RESU X MES'!H1265</f>
        <v>0</v>
      </c>
      <c r="V238" s="389">
        <f>'[1]RESU X MES'!H1527</f>
        <v>0</v>
      </c>
      <c r="W238" s="389">
        <f>'[1]RESU X MES'!H1790</f>
        <v>0</v>
      </c>
      <c r="X238" s="389">
        <f>'[1]RESU X MES'!H2051</f>
        <v>0</v>
      </c>
      <c r="Y238" s="389">
        <f>SUM(U238:X238)</f>
        <v>0</v>
      </c>
      <c r="Z238" s="389">
        <f t="shared" si="63"/>
        <v>0</v>
      </c>
      <c r="AA238" s="389">
        <f>'[1]RESU X MES'!H2310</f>
        <v>0</v>
      </c>
      <c r="AB238" s="389">
        <f>'[1]RESU X MES'!H2572</f>
        <v>0</v>
      </c>
      <c r="AC238" s="389">
        <f>'[1]RESU X MES'!H2834</f>
        <v>0</v>
      </c>
      <c r="AD238" s="389">
        <f>'[1]RESU X MES'!H3098</f>
        <v>0</v>
      </c>
      <c r="AE238" s="389">
        <f>SUM(AA238:AD238)</f>
        <v>0</v>
      </c>
      <c r="AF238" s="389">
        <f t="shared" si="47"/>
        <v>0</v>
      </c>
      <c r="AG238" s="389">
        <f>J238-AF238</f>
        <v>0</v>
      </c>
      <c r="AH238" s="389">
        <f>AF238-AI238</f>
        <v>0</v>
      </c>
      <c r="AI238" s="389">
        <f>'[1]RESU X MES'!N224+'[1]RESU X MES'!N482+'[1]RESU X MES'!N741+'[1]RESU X MES'!N1004+'[1]RESU X MES'!N1265+'[1]RESU X MES'!N1527+'[1]RESU X MES'!N1790+'[1]RESU X MES'!N2051+'[1]RESU X MES'!N2310+'[1]RESU X MES'!N2572+'[1]RESU X MES'!N2834+'[1]RESU X MES'!N3098</f>
        <v>0</v>
      </c>
    </row>
    <row r="239" spans="2:35" ht="15" customHeight="1" hidden="1">
      <c r="B239" s="391"/>
      <c r="C239" s="391"/>
      <c r="D239" s="386"/>
      <c r="E239" s="387"/>
      <c r="F239" s="387"/>
      <c r="G239" s="391"/>
      <c r="H239" s="389"/>
      <c r="I239" s="389"/>
      <c r="J239" s="389"/>
      <c r="K239" s="389"/>
      <c r="L239" s="389"/>
      <c r="M239" s="389"/>
      <c r="N239" s="389"/>
      <c r="O239" s="389"/>
      <c r="P239" s="389"/>
      <c r="Q239" s="389"/>
      <c r="R239" s="389"/>
      <c r="S239" s="389"/>
      <c r="T239" s="389"/>
      <c r="U239" s="389"/>
      <c r="V239" s="389"/>
      <c r="W239" s="389"/>
      <c r="X239" s="389"/>
      <c r="Y239" s="389"/>
      <c r="Z239" s="389">
        <f t="shared" si="63"/>
        <v>0</v>
      </c>
      <c r="AA239" s="389"/>
      <c r="AB239" s="389"/>
      <c r="AC239" s="389"/>
      <c r="AD239" s="389"/>
      <c r="AE239" s="389"/>
      <c r="AF239" s="389">
        <f aca="true" t="shared" si="68" ref="AF239:AF269">+O239+P239+Q239+R239+S239</f>
        <v>0</v>
      </c>
      <c r="AG239" s="389"/>
      <c r="AH239" s="389"/>
      <c r="AI239" s="389"/>
    </row>
    <row r="240" spans="2:35" ht="14.25">
      <c r="B240" s="391"/>
      <c r="C240" s="391"/>
      <c r="D240" s="386"/>
      <c r="E240" s="387"/>
      <c r="F240" s="387"/>
      <c r="G240" s="391"/>
      <c r="H240" s="389"/>
      <c r="I240" s="389"/>
      <c r="J240" s="389"/>
      <c r="K240" s="389"/>
      <c r="L240" s="389"/>
      <c r="M240" s="389"/>
      <c r="N240" s="389"/>
      <c r="O240" s="389"/>
      <c r="P240" s="389"/>
      <c r="Q240" s="389"/>
      <c r="R240" s="389"/>
      <c r="S240" s="389"/>
      <c r="T240" s="389"/>
      <c r="U240" s="389"/>
      <c r="V240" s="389"/>
      <c r="W240" s="389"/>
      <c r="X240" s="389"/>
      <c r="Y240" s="389"/>
      <c r="Z240" s="389">
        <f t="shared" si="63"/>
        <v>0</v>
      </c>
      <c r="AA240" s="389"/>
      <c r="AB240" s="389"/>
      <c r="AC240" s="389"/>
      <c r="AD240" s="389"/>
      <c r="AE240" s="389"/>
      <c r="AF240" s="389">
        <f t="shared" si="68"/>
        <v>0</v>
      </c>
      <c r="AG240" s="389"/>
      <c r="AH240" s="389"/>
      <c r="AI240" s="389"/>
    </row>
    <row r="241" spans="2:35" ht="14.25">
      <c r="B241" s="383"/>
      <c r="C241" s="383">
        <f>'[1]GASTOS MATRIZ'!B237</f>
        <v>580</v>
      </c>
      <c r="D241" s="381"/>
      <c r="E241" s="390"/>
      <c r="F241" s="390"/>
      <c r="G241" s="383" t="str">
        <f>'[1]GASTOS MATRIZ'!F237</f>
        <v>Estudios de Proyectos de Inversión</v>
      </c>
      <c r="H241" s="382">
        <f aca="true" t="shared" si="69" ref="H241:AI241">H242</f>
        <v>54548248</v>
      </c>
      <c r="I241" s="382">
        <f t="shared" si="69"/>
        <v>0</v>
      </c>
      <c r="J241" s="382">
        <f t="shared" si="69"/>
        <v>54548248</v>
      </c>
      <c r="K241" s="382">
        <f t="shared" si="69"/>
        <v>0</v>
      </c>
      <c r="L241" s="382">
        <f t="shared" si="69"/>
        <v>0</v>
      </c>
      <c r="M241" s="382">
        <f t="shared" si="69"/>
        <v>0</v>
      </c>
      <c r="N241" s="382">
        <f t="shared" si="69"/>
        <v>0</v>
      </c>
      <c r="O241" s="382">
        <f t="shared" si="69"/>
        <v>0</v>
      </c>
      <c r="P241" s="382">
        <f t="shared" si="69"/>
        <v>0</v>
      </c>
      <c r="Q241" s="382">
        <f t="shared" si="69"/>
        <v>0</v>
      </c>
      <c r="R241" s="382">
        <f t="shared" si="69"/>
        <v>0</v>
      </c>
      <c r="S241" s="382">
        <f t="shared" si="69"/>
        <v>0</v>
      </c>
      <c r="T241" s="382">
        <f t="shared" si="69"/>
        <v>0</v>
      </c>
      <c r="U241" s="382">
        <f t="shared" si="69"/>
        <v>0</v>
      </c>
      <c r="V241" s="382">
        <f t="shared" si="69"/>
        <v>0</v>
      </c>
      <c r="W241" s="382">
        <f t="shared" si="69"/>
        <v>0</v>
      </c>
      <c r="X241" s="382">
        <f t="shared" si="69"/>
        <v>0</v>
      </c>
      <c r="Y241" s="382">
        <f t="shared" si="69"/>
        <v>0</v>
      </c>
      <c r="Z241" s="382">
        <f t="shared" si="69"/>
        <v>0</v>
      </c>
      <c r="AA241" s="382">
        <f t="shared" si="69"/>
        <v>0</v>
      </c>
      <c r="AB241" s="382">
        <f t="shared" si="69"/>
        <v>0</v>
      </c>
      <c r="AC241" s="382">
        <f t="shared" si="69"/>
        <v>0</v>
      </c>
      <c r="AD241" s="382">
        <f t="shared" si="69"/>
        <v>0</v>
      </c>
      <c r="AE241" s="382">
        <f t="shared" si="69"/>
        <v>0</v>
      </c>
      <c r="AF241" s="382">
        <f t="shared" si="68"/>
        <v>0</v>
      </c>
      <c r="AG241" s="382">
        <f t="shared" si="69"/>
        <v>54548248</v>
      </c>
      <c r="AH241" s="382">
        <f t="shared" si="69"/>
        <v>0</v>
      </c>
      <c r="AI241" s="382">
        <f t="shared" si="69"/>
        <v>0</v>
      </c>
    </row>
    <row r="242" spans="2:35" ht="14.25">
      <c r="B242" s="391"/>
      <c r="C242" s="391"/>
      <c r="D242" s="386">
        <f>'[1]GASTOS MATRIZ'!C238</f>
        <v>580</v>
      </c>
      <c r="E242" s="387" t="str">
        <f>'[1]GASTOS MATRIZ'!D238</f>
        <v>30</v>
      </c>
      <c r="F242" s="387" t="str">
        <f>'[1]GASTOS MATRIZ'!E238</f>
        <v>011</v>
      </c>
      <c r="G242" s="391" t="str">
        <f>'[1]GASTOS MATRIZ'!F238</f>
        <v>Estudios de Proyectos de Inversión</v>
      </c>
      <c r="H242" s="389">
        <f>'[1]GASTOS MATRIZ'!G238</f>
        <v>54548248</v>
      </c>
      <c r="I242" s="389">
        <f>'[1]GASTOS MATRIZ'!H238</f>
        <v>0</v>
      </c>
      <c r="J242" s="389">
        <f>H242+I242</f>
        <v>54548248</v>
      </c>
      <c r="K242" s="389">
        <f>'[1]RESU X MES'!H228</f>
        <v>0</v>
      </c>
      <c r="L242" s="389">
        <f>'[1]RESU X MES'!H486</f>
        <v>0</v>
      </c>
      <c r="M242" s="389">
        <f>'[1]RESU X MES'!H745</f>
        <v>0</v>
      </c>
      <c r="N242" s="389">
        <v>0</v>
      </c>
      <c r="O242" s="389">
        <f>+K242+L242+M242+N242</f>
        <v>0</v>
      </c>
      <c r="P242" s="389">
        <v>0</v>
      </c>
      <c r="Q242" s="389">
        <v>0</v>
      </c>
      <c r="R242" s="389"/>
      <c r="S242" s="389"/>
      <c r="T242" s="389">
        <f>SUM(K242:P242)</f>
        <v>0</v>
      </c>
      <c r="U242" s="389">
        <f>'[1]RESU X MES'!H1269</f>
        <v>0</v>
      </c>
      <c r="V242" s="389">
        <f>'[1]RESU X MES'!H1531</f>
        <v>0</v>
      </c>
      <c r="W242" s="389">
        <f>'[1]RESU X MES'!H1794</f>
        <v>0</v>
      </c>
      <c r="X242" s="389">
        <f>'[1]RESU X MES'!H2055</f>
        <v>0</v>
      </c>
      <c r="Y242" s="389">
        <f>SUM(U242:X242)</f>
        <v>0</v>
      </c>
      <c r="Z242" s="389">
        <f t="shared" si="63"/>
        <v>0</v>
      </c>
      <c r="AA242" s="389">
        <f>'[1]RESU X MES'!H2314</f>
        <v>0</v>
      </c>
      <c r="AB242" s="389">
        <f>'[1]RESU X MES'!H2576</f>
        <v>0</v>
      </c>
      <c r="AC242" s="389">
        <f>'[1]RESU X MES'!H2838</f>
        <v>0</v>
      </c>
      <c r="AD242" s="389">
        <f>'[1]RESU X MES'!H3102</f>
        <v>0</v>
      </c>
      <c r="AE242" s="389">
        <f>SUM(AA242:AD242)</f>
        <v>0</v>
      </c>
      <c r="AF242" s="389">
        <f t="shared" si="68"/>
        <v>0</v>
      </c>
      <c r="AG242" s="389">
        <f>J242-AF242</f>
        <v>54548248</v>
      </c>
      <c r="AH242" s="389">
        <f>AF242-AI242</f>
        <v>0</v>
      </c>
      <c r="AI242" s="389">
        <f>'[1]RESU X MES'!N228+'[1]RESU X MES'!N486+'[1]RESU X MES'!N745+'[1]RESU X MES'!N1008+'[1]RESU X MES'!N1269+'[1]RESU X MES'!N1531+'[1]RESU X MES'!N1794+'[1]RESU X MES'!N2055+'[1]RESU X MES'!N2314+'[1]RESU X MES'!N2576+'[1]RESU X MES'!N2838+'[1]RESU X MES'!N3102</f>
        <v>0</v>
      </c>
    </row>
    <row r="243" spans="2:35" ht="14.25">
      <c r="B243" s="391"/>
      <c r="C243" s="391"/>
      <c r="D243" s="386"/>
      <c r="E243" s="387"/>
      <c r="F243" s="387"/>
      <c r="G243" s="391"/>
      <c r="H243" s="389"/>
      <c r="I243" s="389"/>
      <c r="J243" s="389"/>
      <c r="K243" s="389"/>
      <c r="L243" s="389"/>
      <c r="M243" s="389"/>
      <c r="N243" s="389"/>
      <c r="O243" s="389"/>
      <c r="P243" s="389"/>
      <c r="Q243" s="389"/>
      <c r="R243" s="389"/>
      <c r="S243" s="389"/>
      <c r="T243" s="389"/>
      <c r="U243" s="389"/>
      <c r="V243" s="389"/>
      <c r="W243" s="389"/>
      <c r="X243" s="389"/>
      <c r="Y243" s="389"/>
      <c r="Z243" s="389">
        <f t="shared" si="63"/>
        <v>0</v>
      </c>
      <c r="AA243" s="389"/>
      <c r="AB243" s="389"/>
      <c r="AC243" s="389"/>
      <c r="AD243" s="389"/>
      <c r="AE243" s="389"/>
      <c r="AF243" s="389">
        <f t="shared" si="68"/>
        <v>0</v>
      </c>
      <c r="AG243" s="389"/>
      <c r="AH243" s="389"/>
      <c r="AI243" s="389"/>
    </row>
    <row r="244" spans="2:35" ht="14.25">
      <c r="B244" s="383"/>
      <c r="C244" s="383">
        <f>'[1]GASTOS MATRIZ'!B240</f>
        <v>590</v>
      </c>
      <c r="D244" s="381"/>
      <c r="E244" s="390"/>
      <c r="F244" s="390"/>
      <c r="G244" s="383" t="str">
        <f>'[1]GASTOS MATRIZ'!F240</f>
        <v>Otros Gastos de Inversiones Mayores</v>
      </c>
      <c r="H244" s="382">
        <f aca="true" t="shared" si="70" ref="H244:M244">SUM(H245:H246)</f>
        <v>0</v>
      </c>
      <c r="I244" s="382">
        <f t="shared" si="70"/>
        <v>0</v>
      </c>
      <c r="J244" s="382">
        <f t="shared" si="70"/>
        <v>0</v>
      </c>
      <c r="K244" s="382">
        <f t="shared" si="70"/>
        <v>0</v>
      </c>
      <c r="L244" s="382">
        <f t="shared" si="70"/>
        <v>0</v>
      </c>
      <c r="M244" s="382">
        <f t="shared" si="70"/>
        <v>0</v>
      </c>
      <c r="N244" s="382">
        <v>0</v>
      </c>
      <c r="O244" s="382">
        <f>SUM(E244:J244)</f>
        <v>0</v>
      </c>
      <c r="P244" s="382">
        <v>0</v>
      </c>
      <c r="Q244" s="382">
        <v>0</v>
      </c>
      <c r="R244" s="382"/>
      <c r="S244" s="382"/>
      <c r="T244" s="382">
        <f>SUM(K244:P244)</f>
        <v>0</v>
      </c>
      <c r="U244" s="382">
        <f>SUM(U245:U246)</f>
        <v>0</v>
      </c>
      <c r="V244" s="382">
        <f>SUM(V245:V246)</f>
        <v>0</v>
      </c>
      <c r="W244" s="382">
        <f>SUM(W245:W246)</f>
        <v>0</v>
      </c>
      <c r="X244" s="382">
        <f>SUM(X245:X246)</f>
        <v>0</v>
      </c>
      <c r="Y244" s="382">
        <f>SUM(U244:X244)</f>
        <v>0</v>
      </c>
      <c r="Z244" s="382">
        <f t="shared" si="63"/>
        <v>0</v>
      </c>
      <c r="AA244" s="382">
        <f>SUM(AA245:AA246)</f>
        <v>0</v>
      </c>
      <c r="AB244" s="382">
        <f>SUM(AB245:AB246)</f>
        <v>0</v>
      </c>
      <c r="AC244" s="382">
        <f>SUM(AC245:AC246)</f>
        <v>0</v>
      </c>
      <c r="AD244" s="382">
        <f>SUM(AD245:AD246)</f>
        <v>0</v>
      </c>
      <c r="AE244" s="382">
        <f>SUM(AA244:AD244)</f>
        <v>0</v>
      </c>
      <c r="AF244" s="382">
        <f t="shared" si="68"/>
        <v>0</v>
      </c>
      <c r="AG244" s="382">
        <f>SUM(AG245:AG246)</f>
        <v>0</v>
      </c>
      <c r="AH244" s="382">
        <f>SUM(AH245:AH246)</f>
        <v>0</v>
      </c>
      <c r="AI244" s="382">
        <f>SUM(AI245:AI246)</f>
        <v>0</v>
      </c>
    </row>
    <row r="245" spans="2:35" ht="14.25">
      <c r="B245" s="391"/>
      <c r="C245" s="391"/>
      <c r="D245" s="386">
        <f>'[1]GASTOS MATRIZ'!C241</f>
        <v>590</v>
      </c>
      <c r="E245" s="387" t="str">
        <f>'[1]GASTOS MATRIZ'!D241</f>
        <v>30</v>
      </c>
      <c r="F245" s="387" t="str">
        <f>'[1]GASTOS MATRIZ'!E241</f>
        <v>011</v>
      </c>
      <c r="G245" s="391" t="str">
        <f>'[1]GASTOS MATRIZ'!F241</f>
        <v>Otros Gastos de Inversiones  y Reparaciones Mayores</v>
      </c>
      <c r="H245" s="389">
        <f>'[1]GASTOS MATRIZ'!G241</f>
        <v>0</v>
      </c>
      <c r="I245" s="389">
        <f>'[1]GASTOS MATRIZ'!H241</f>
        <v>0</v>
      </c>
      <c r="J245" s="389">
        <f>H245+I245</f>
        <v>0</v>
      </c>
      <c r="K245" s="389">
        <f>'[1]RESU X MES'!H231</f>
        <v>0</v>
      </c>
      <c r="L245" s="389">
        <f>'[1]RESU X MES'!H489</f>
        <v>0</v>
      </c>
      <c r="M245" s="389">
        <f>'[1]RESU X MES'!H748</f>
        <v>0</v>
      </c>
      <c r="N245" s="389">
        <v>0</v>
      </c>
      <c r="O245" s="389">
        <f>SUM(E245:J245)</f>
        <v>0</v>
      </c>
      <c r="P245" s="389">
        <v>0</v>
      </c>
      <c r="Q245" s="389">
        <v>0</v>
      </c>
      <c r="R245" s="389"/>
      <c r="S245" s="389"/>
      <c r="T245" s="389">
        <f>SUM(K245:P245)</f>
        <v>0</v>
      </c>
      <c r="U245" s="389">
        <f>'[1]RESU X MES'!H1272</f>
        <v>0</v>
      </c>
      <c r="V245" s="389">
        <f>'[1]RESU X MES'!H1534</f>
        <v>0</v>
      </c>
      <c r="W245" s="389">
        <f>'[1]RESU X MES'!H1797</f>
        <v>0</v>
      </c>
      <c r="X245" s="389">
        <f>'[1]RESU X MES'!H2058</f>
        <v>0</v>
      </c>
      <c r="Y245" s="389">
        <f>SUM(U245:X245)</f>
        <v>0</v>
      </c>
      <c r="Z245" s="389">
        <f t="shared" si="63"/>
        <v>0</v>
      </c>
      <c r="AA245" s="389">
        <f>'[1]RESU X MES'!H2317</f>
        <v>0</v>
      </c>
      <c r="AB245" s="389">
        <f>'[1]RESU X MES'!H2579</f>
        <v>0</v>
      </c>
      <c r="AC245" s="389">
        <f>'[1]RESU X MES'!H2841</f>
        <v>0</v>
      </c>
      <c r="AD245" s="389">
        <f>'[1]RESU X MES'!H3105</f>
        <v>0</v>
      </c>
      <c r="AE245" s="389">
        <f>SUM(AA245:AD245)</f>
        <v>0</v>
      </c>
      <c r="AF245" s="389">
        <f t="shared" si="68"/>
        <v>0</v>
      </c>
      <c r="AG245" s="389">
        <f>J245-AF245</f>
        <v>0</v>
      </c>
      <c r="AH245" s="389">
        <f>AF245-AI245</f>
        <v>0</v>
      </c>
      <c r="AI245" s="389">
        <f>'[1]RESU X MES'!N231+'[1]RESU X MES'!N489+'[1]RESU X MES'!N748+'[1]RESU X MES'!N1011+'[1]RESU X MES'!N1272+'[1]RESU X MES'!N1534+'[1]RESU X MES'!N1797+'[1]RESU X MES'!N2058+'[1]RESU X MES'!N2317+'[1]RESU X MES'!N2579+'[1]RESU X MES'!N2841+'[1]RESU X MES'!N3105</f>
        <v>0</v>
      </c>
    </row>
    <row r="246" spans="2:35" ht="15" customHeight="1" hidden="1">
      <c r="B246" s="391"/>
      <c r="C246" s="391"/>
      <c r="D246" s="386"/>
      <c r="E246" s="387"/>
      <c r="F246" s="387"/>
      <c r="G246" s="391"/>
      <c r="H246" s="389"/>
      <c r="I246" s="389"/>
      <c r="J246" s="389"/>
      <c r="K246" s="389"/>
      <c r="L246" s="389"/>
      <c r="M246" s="389"/>
      <c r="N246" s="389"/>
      <c r="O246" s="389"/>
      <c r="P246" s="389"/>
      <c r="Q246" s="389"/>
      <c r="R246" s="389"/>
      <c r="S246" s="389"/>
      <c r="T246" s="389"/>
      <c r="U246" s="389"/>
      <c r="V246" s="389"/>
      <c r="W246" s="389"/>
      <c r="X246" s="389"/>
      <c r="Y246" s="389"/>
      <c r="Z246" s="389">
        <f t="shared" si="63"/>
        <v>0</v>
      </c>
      <c r="AA246" s="389"/>
      <c r="AB246" s="389"/>
      <c r="AC246" s="389"/>
      <c r="AD246" s="389"/>
      <c r="AE246" s="389"/>
      <c r="AF246" s="389">
        <f t="shared" si="68"/>
        <v>0</v>
      </c>
      <c r="AG246" s="389"/>
      <c r="AH246" s="389"/>
      <c r="AI246" s="389"/>
    </row>
    <row r="247" spans="2:35" ht="15" customHeight="1" hidden="1">
      <c r="B247" s="391"/>
      <c r="C247" s="391"/>
      <c r="D247" s="386"/>
      <c r="E247" s="387"/>
      <c r="F247" s="387"/>
      <c r="G247" s="391"/>
      <c r="H247" s="389"/>
      <c r="I247" s="389"/>
      <c r="J247" s="389"/>
      <c r="K247" s="389"/>
      <c r="L247" s="389"/>
      <c r="M247" s="389"/>
      <c r="N247" s="389"/>
      <c r="O247" s="389"/>
      <c r="P247" s="389"/>
      <c r="Q247" s="389"/>
      <c r="R247" s="389"/>
      <c r="S247" s="389"/>
      <c r="T247" s="389"/>
      <c r="U247" s="389"/>
      <c r="V247" s="389"/>
      <c r="W247" s="389"/>
      <c r="X247" s="389"/>
      <c r="Y247" s="389"/>
      <c r="Z247" s="389">
        <f t="shared" si="63"/>
        <v>0</v>
      </c>
      <c r="AA247" s="389"/>
      <c r="AB247" s="389"/>
      <c r="AC247" s="389"/>
      <c r="AD247" s="389"/>
      <c r="AE247" s="389"/>
      <c r="AF247" s="389">
        <f t="shared" si="68"/>
        <v>0</v>
      </c>
      <c r="AG247" s="389"/>
      <c r="AH247" s="389"/>
      <c r="AI247" s="389"/>
    </row>
    <row r="248" spans="2:35" ht="15" customHeight="1" hidden="1">
      <c r="B248" s="381">
        <f>'[1]GASTOS MATRIZ'!A244</f>
        <v>700</v>
      </c>
      <c r="C248" s="386"/>
      <c r="D248" s="386"/>
      <c r="E248" s="387"/>
      <c r="F248" s="387"/>
      <c r="G248" s="383" t="str">
        <f>'[1]GASTOS MATRIZ'!F244</f>
        <v>SERVICIO DE LA DEUDA PÚBLICA</v>
      </c>
      <c r="H248" s="382">
        <f aca="true" t="shared" si="71" ref="H248:M250">H249</f>
        <v>0</v>
      </c>
      <c r="I248" s="382">
        <f t="shared" si="71"/>
        <v>0</v>
      </c>
      <c r="J248" s="382">
        <f t="shared" si="71"/>
        <v>0</v>
      </c>
      <c r="K248" s="382">
        <f t="shared" si="71"/>
        <v>0</v>
      </c>
      <c r="L248" s="382">
        <f t="shared" si="71"/>
        <v>0</v>
      </c>
      <c r="M248" s="382">
        <f t="shared" si="71"/>
        <v>0</v>
      </c>
      <c r="N248" s="382"/>
      <c r="O248" s="382">
        <f>SUM(E248:J248)</f>
        <v>0</v>
      </c>
      <c r="P248" s="382"/>
      <c r="Q248" s="382"/>
      <c r="R248" s="382"/>
      <c r="S248" s="382"/>
      <c r="T248" s="382">
        <f>SUM(K248:P248)</f>
        <v>0</v>
      </c>
      <c r="U248" s="382">
        <f aca="true" t="shared" si="72" ref="U248:X250">U249</f>
        <v>0</v>
      </c>
      <c r="V248" s="382">
        <f t="shared" si="72"/>
        <v>0</v>
      </c>
      <c r="W248" s="382">
        <f t="shared" si="72"/>
        <v>0</v>
      </c>
      <c r="X248" s="382">
        <f t="shared" si="72"/>
        <v>0</v>
      </c>
      <c r="Y248" s="382">
        <f aca="true" t="shared" si="73" ref="Y248:Y266">SUM(U248:X248)</f>
        <v>0</v>
      </c>
      <c r="Z248" s="382">
        <f t="shared" si="63"/>
        <v>0</v>
      </c>
      <c r="AA248" s="382">
        <f aca="true" t="shared" si="74" ref="AA248:AD250">AA249</f>
        <v>0</v>
      </c>
      <c r="AB248" s="382">
        <f t="shared" si="74"/>
        <v>0</v>
      </c>
      <c r="AC248" s="382">
        <f t="shared" si="74"/>
        <v>0</v>
      </c>
      <c r="AD248" s="382">
        <f t="shared" si="74"/>
        <v>0</v>
      </c>
      <c r="AE248" s="382">
        <f aca="true" t="shared" si="75" ref="AE248:AE266">SUM(AA248:AD248)</f>
        <v>0</v>
      </c>
      <c r="AF248" s="382">
        <f t="shared" si="68"/>
        <v>0</v>
      </c>
      <c r="AG248" s="382">
        <f aca="true" t="shared" si="76" ref="AG248:AI250">AG249</f>
        <v>0</v>
      </c>
      <c r="AH248" s="382">
        <f t="shared" si="76"/>
        <v>0</v>
      </c>
      <c r="AI248" s="382">
        <f t="shared" si="76"/>
        <v>0</v>
      </c>
    </row>
    <row r="249" spans="2:35" ht="15" customHeight="1" hidden="1">
      <c r="B249" s="391"/>
      <c r="C249" s="383">
        <f>'[1]GASTOS MATRIZ'!B245</f>
        <v>730</v>
      </c>
      <c r="D249" s="386"/>
      <c r="E249" s="387"/>
      <c r="F249" s="387"/>
      <c r="G249" s="383" t="str">
        <f>'[1]GASTOS MATRIZ'!F245</f>
        <v>Amortización de la Deuda Pública Interna</v>
      </c>
      <c r="H249" s="382">
        <f t="shared" si="71"/>
        <v>0</v>
      </c>
      <c r="I249" s="382">
        <f t="shared" si="71"/>
        <v>0</v>
      </c>
      <c r="J249" s="382">
        <f t="shared" si="71"/>
        <v>0</v>
      </c>
      <c r="K249" s="382">
        <f t="shared" si="71"/>
        <v>0</v>
      </c>
      <c r="L249" s="382">
        <f t="shared" si="71"/>
        <v>0</v>
      </c>
      <c r="M249" s="382">
        <f t="shared" si="71"/>
        <v>0</v>
      </c>
      <c r="N249" s="382"/>
      <c r="O249" s="382">
        <f>SUM(E249:J249)</f>
        <v>0</v>
      </c>
      <c r="P249" s="382"/>
      <c r="Q249" s="382"/>
      <c r="R249" s="382"/>
      <c r="S249" s="382"/>
      <c r="T249" s="382">
        <f>SUM(K249:P249)</f>
        <v>0</v>
      </c>
      <c r="U249" s="382">
        <f t="shared" si="72"/>
        <v>0</v>
      </c>
      <c r="V249" s="382">
        <f t="shared" si="72"/>
        <v>0</v>
      </c>
      <c r="W249" s="382">
        <f t="shared" si="72"/>
        <v>0</v>
      </c>
      <c r="X249" s="382">
        <f t="shared" si="72"/>
        <v>0</v>
      </c>
      <c r="Y249" s="382">
        <f t="shared" si="73"/>
        <v>0</v>
      </c>
      <c r="Z249" s="382">
        <f t="shared" si="63"/>
        <v>0</v>
      </c>
      <c r="AA249" s="382">
        <f t="shared" si="74"/>
        <v>0</v>
      </c>
      <c r="AB249" s="382">
        <f t="shared" si="74"/>
        <v>0</v>
      </c>
      <c r="AC249" s="382">
        <f t="shared" si="74"/>
        <v>0</v>
      </c>
      <c r="AD249" s="382">
        <f t="shared" si="74"/>
        <v>0</v>
      </c>
      <c r="AE249" s="382">
        <f t="shared" si="75"/>
        <v>0</v>
      </c>
      <c r="AF249" s="382">
        <f t="shared" si="68"/>
        <v>0</v>
      </c>
      <c r="AG249" s="382">
        <f t="shared" si="76"/>
        <v>0</v>
      </c>
      <c r="AH249" s="382">
        <f t="shared" si="76"/>
        <v>0</v>
      </c>
      <c r="AI249" s="382">
        <f t="shared" si="76"/>
        <v>0</v>
      </c>
    </row>
    <row r="250" spans="2:35" ht="30" customHeight="1" hidden="1">
      <c r="B250" s="381"/>
      <c r="C250" s="381"/>
      <c r="D250" s="381">
        <f>'[1]GASTOS MATRIZ'!C246</f>
        <v>733</v>
      </c>
      <c r="E250" s="390"/>
      <c r="F250" s="390"/>
      <c r="G250" s="403" t="str">
        <f>'[1]GASTOS MATRIZ'!F246</f>
        <v>Amortización de la Deuda con el Sector Privado</v>
      </c>
      <c r="H250" s="395">
        <f t="shared" si="71"/>
        <v>0</v>
      </c>
      <c r="I250" s="395">
        <f t="shared" si="71"/>
        <v>0</v>
      </c>
      <c r="J250" s="395">
        <f t="shared" si="71"/>
        <v>0</v>
      </c>
      <c r="K250" s="395">
        <f t="shared" si="71"/>
        <v>0</v>
      </c>
      <c r="L250" s="395">
        <f t="shared" si="71"/>
        <v>0</v>
      </c>
      <c r="M250" s="395">
        <f t="shared" si="71"/>
        <v>0</v>
      </c>
      <c r="N250" s="395"/>
      <c r="O250" s="395">
        <f>SUM(E250:J250)</f>
        <v>0</v>
      </c>
      <c r="P250" s="395"/>
      <c r="Q250" s="395"/>
      <c r="R250" s="395"/>
      <c r="S250" s="395"/>
      <c r="T250" s="395">
        <f>SUM(K250:P250)</f>
        <v>0</v>
      </c>
      <c r="U250" s="395">
        <f t="shared" si="72"/>
        <v>0</v>
      </c>
      <c r="V250" s="395">
        <f t="shared" si="72"/>
        <v>0</v>
      </c>
      <c r="W250" s="395">
        <f t="shared" si="72"/>
        <v>0</v>
      </c>
      <c r="X250" s="395">
        <f t="shared" si="72"/>
        <v>0</v>
      </c>
      <c r="Y250" s="395">
        <f t="shared" si="73"/>
        <v>0</v>
      </c>
      <c r="Z250" s="395">
        <f t="shared" si="63"/>
        <v>0</v>
      </c>
      <c r="AA250" s="395">
        <f t="shared" si="74"/>
        <v>0</v>
      </c>
      <c r="AB250" s="395">
        <f t="shared" si="74"/>
        <v>0</v>
      </c>
      <c r="AC250" s="395">
        <f t="shared" si="74"/>
        <v>0</v>
      </c>
      <c r="AD250" s="395">
        <f t="shared" si="74"/>
        <v>0</v>
      </c>
      <c r="AE250" s="395">
        <f t="shared" si="75"/>
        <v>0</v>
      </c>
      <c r="AF250" s="395">
        <f t="shared" si="68"/>
        <v>0</v>
      </c>
      <c r="AG250" s="395">
        <f t="shared" si="76"/>
        <v>0</v>
      </c>
      <c r="AH250" s="395">
        <f t="shared" si="76"/>
        <v>0</v>
      </c>
      <c r="AI250" s="395">
        <f t="shared" si="76"/>
        <v>0</v>
      </c>
    </row>
    <row r="251" spans="2:35" ht="15" customHeight="1" hidden="1">
      <c r="B251" s="386"/>
      <c r="C251" s="386"/>
      <c r="D251" s="386"/>
      <c r="E251" s="387"/>
      <c r="F251" s="387"/>
      <c r="G251" s="391"/>
      <c r="H251" s="389"/>
      <c r="I251" s="389"/>
      <c r="J251" s="389"/>
      <c r="K251" s="389"/>
      <c r="L251" s="389"/>
      <c r="M251" s="389"/>
      <c r="N251" s="389"/>
      <c r="O251" s="389"/>
      <c r="P251" s="389"/>
      <c r="Q251" s="389"/>
      <c r="R251" s="389"/>
      <c r="S251" s="389"/>
      <c r="T251" s="389"/>
      <c r="U251" s="389"/>
      <c r="V251" s="389"/>
      <c r="W251" s="389"/>
      <c r="X251" s="389"/>
      <c r="Y251" s="389"/>
      <c r="Z251" s="389">
        <f t="shared" si="63"/>
        <v>0</v>
      </c>
      <c r="AA251" s="389"/>
      <c r="AB251" s="389"/>
      <c r="AC251" s="389"/>
      <c r="AD251" s="389"/>
      <c r="AE251" s="389"/>
      <c r="AF251" s="389">
        <f t="shared" si="68"/>
        <v>0</v>
      </c>
      <c r="AG251" s="389"/>
      <c r="AH251" s="389"/>
      <c r="AI251" s="389"/>
    </row>
    <row r="252" spans="2:35" ht="14.25">
      <c r="B252" s="391"/>
      <c r="C252" s="391"/>
      <c r="D252" s="386"/>
      <c r="E252" s="387"/>
      <c r="F252" s="387"/>
      <c r="G252" s="391"/>
      <c r="H252" s="389"/>
      <c r="I252" s="389"/>
      <c r="J252" s="389"/>
      <c r="K252" s="389"/>
      <c r="L252" s="389"/>
      <c r="M252" s="389"/>
      <c r="N252" s="389"/>
      <c r="O252" s="389"/>
      <c r="P252" s="389"/>
      <c r="Q252" s="389"/>
      <c r="R252" s="389"/>
      <c r="S252" s="389"/>
      <c r="T252" s="389"/>
      <c r="U252" s="389"/>
      <c r="V252" s="389"/>
      <c r="W252" s="389"/>
      <c r="X252" s="389"/>
      <c r="Y252" s="389"/>
      <c r="Z252" s="389">
        <f t="shared" si="63"/>
        <v>0</v>
      </c>
      <c r="AA252" s="389"/>
      <c r="AB252" s="389"/>
      <c r="AC252" s="389"/>
      <c r="AD252" s="389"/>
      <c r="AE252" s="389"/>
      <c r="AF252" s="389">
        <f t="shared" si="68"/>
        <v>0</v>
      </c>
      <c r="AG252" s="389"/>
      <c r="AH252" s="389"/>
      <c r="AI252" s="389"/>
    </row>
    <row r="253" spans="2:35" ht="14.25">
      <c r="B253" s="381">
        <f>'[1]GASTOS MATRIZ'!A249</f>
        <v>800</v>
      </c>
      <c r="C253" s="386"/>
      <c r="D253" s="386"/>
      <c r="E253" s="387"/>
      <c r="F253" s="387"/>
      <c r="G253" s="383" t="str">
        <f>'[1]GASTOS MATRIZ'!F249</f>
        <v>TRANSFERENCIAS</v>
      </c>
      <c r="H253" s="382">
        <f aca="true" t="shared" si="77" ref="H253:AI253">H254+H261</f>
        <v>0</v>
      </c>
      <c r="I253" s="382">
        <f t="shared" si="77"/>
        <v>0</v>
      </c>
      <c r="J253" s="382">
        <f t="shared" si="77"/>
        <v>0</v>
      </c>
      <c r="K253" s="382">
        <f t="shared" si="77"/>
        <v>0</v>
      </c>
      <c r="L253" s="382">
        <f t="shared" si="77"/>
        <v>0</v>
      </c>
      <c r="M253" s="382">
        <f t="shared" si="77"/>
        <v>0</v>
      </c>
      <c r="N253" s="382">
        <f t="shared" si="77"/>
        <v>0</v>
      </c>
      <c r="O253" s="382">
        <f t="shared" si="77"/>
        <v>0</v>
      </c>
      <c r="P253" s="382">
        <f t="shared" si="77"/>
        <v>0</v>
      </c>
      <c r="Q253" s="382">
        <f t="shared" si="77"/>
        <v>0</v>
      </c>
      <c r="R253" s="382">
        <f t="shared" si="77"/>
        <v>0</v>
      </c>
      <c r="S253" s="382">
        <f t="shared" si="77"/>
        <v>0</v>
      </c>
      <c r="T253" s="382">
        <f t="shared" si="77"/>
        <v>0</v>
      </c>
      <c r="U253" s="382">
        <f t="shared" si="77"/>
        <v>0</v>
      </c>
      <c r="V253" s="382">
        <f t="shared" si="77"/>
        <v>0</v>
      </c>
      <c r="W253" s="382">
        <f t="shared" si="77"/>
        <v>0</v>
      </c>
      <c r="X253" s="382">
        <f t="shared" si="77"/>
        <v>0</v>
      </c>
      <c r="Y253" s="382">
        <f t="shared" si="77"/>
        <v>0</v>
      </c>
      <c r="Z253" s="382">
        <f t="shared" si="77"/>
        <v>0</v>
      </c>
      <c r="AA253" s="382">
        <f t="shared" si="77"/>
        <v>0</v>
      </c>
      <c r="AB253" s="382">
        <f t="shared" si="77"/>
        <v>0</v>
      </c>
      <c r="AC253" s="382">
        <f t="shared" si="77"/>
        <v>0</v>
      </c>
      <c r="AD253" s="382">
        <f t="shared" si="77"/>
        <v>0</v>
      </c>
      <c r="AE253" s="382">
        <f t="shared" si="77"/>
        <v>0</v>
      </c>
      <c r="AF253" s="382">
        <f t="shared" si="68"/>
        <v>0</v>
      </c>
      <c r="AG253" s="382">
        <f t="shared" si="77"/>
        <v>0</v>
      </c>
      <c r="AH253" s="382">
        <f t="shared" si="77"/>
        <v>0</v>
      </c>
      <c r="AI253" s="382">
        <f t="shared" si="77"/>
        <v>0</v>
      </c>
    </row>
    <row r="254" spans="2:35" ht="15" customHeight="1" hidden="1">
      <c r="B254" s="391"/>
      <c r="C254" s="383">
        <f>'[1]GASTOS MATRIZ'!B250</f>
        <v>870</v>
      </c>
      <c r="D254" s="386"/>
      <c r="E254" s="387"/>
      <c r="F254" s="387"/>
      <c r="G254" s="403" t="str">
        <f>'[1]GASTOS MATRIZ'!F250</f>
        <v>Transferencias de Capital al Sector Privado</v>
      </c>
      <c r="H254" s="395">
        <f aca="true" t="shared" si="78" ref="H254:M254">H255</f>
        <v>0</v>
      </c>
      <c r="I254" s="395">
        <f t="shared" si="78"/>
        <v>0</v>
      </c>
      <c r="J254" s="395">
        <f t="shared" si="78"/>
        <v>0</v>
      </c>
      <c r="K254" s="395">
        <f t="shared" si="78"/>
        <v>0</v>
      </c>
      <c r="L254" s="395">
        <f t="shared" si="78"/>
        <v>0</v>
      </c>
      <c r="M254" s="395">
        <f t="shared" si="78"/>
        <v>0</v>
      </c>
      <c r="N254" s="395"/>
      <c r="O254" s="395">
        <f>SUM(E254:J254)</f>
        <v>0</v>
      </c>
      <c r="P254" s="395"/>
      <c r="Q254" s="395"/>
      <c r="R254" s="395"/>
      <c r="S254" s="395"/>
      <c r="T254" s="395">
        <f>SUM(K254:P254)</f>
        <v>0</v>
      </c>
      <c r="U254" s="395">
        <f>U255</f>
        <v>0</v>
      </c>
      <c r="V254" s="395">
        <f>V255</f>
        <v>0</v>
      </c>
      <c r="W254" s="395">
        <f>W255</f>
        <v>0</v>
      </c>
      <c r="X254" s="395">
        <f>X255</f>
        <v>0</v>
      </c>
      <c r="Y254" s="395">
        <f t="shared" si="73"/>
        <v>0</v>
      </c>
      <c r="Z254" s="395">
        <f t="shared" si="63"/>
        <v>0</v>
      </c>
      <c r="AA254" s="395">
        <f>AA255</f>
        <v>0</v>
      </c>
      <c r="AB254" s="395">
        <f>AB255</f>
        <v>0</v>
      </c>
      <c r="AC254" s="395">
        <f>AC255</f>
        <v>0</v>
      </c>
      <c r="AD254" s="395">
        <f>AD255</f>
        <v>0</v>
      </c>
      <c r="AE254" s="395">
        <f t="shared" si="75"/>
        <v>0</v>
      </c>
      <c r="AF254" s="395">
        <f t="shared" si="68"/>
        <v>0</v>
      </c>
      <c r="AG254" s="395">
        <f>AG255</f>
        <v>0</v>
      </c>
      <c r="AH254" s="395">
        <f>AH255</f>
        <v>0</v>
      </c>
      <c r="AI254" s="395">
        <f>AI255</f>
        <v>0</v>
      </c>
    </row>
    <row r="255" spans="2:35" ht="30" customHeight="1" hidden="1">
      <c r="B255" s="381"/>
      <c r="C255" s="381"/>
      <c r="D255" s="381">
        <f>'[1]GASTOS MATRIZ'!C251</f>
        <v>871</v>
      </c>
      <c r="E255" s="390"/>
      <c r="F255" s="390"/>
      <c r="G255" s="403" t="str">
        <f>'[1]GASTOS MATRIZ'!F251</f>
        <v>Transferencias de Capital al Sector Privado, Varias</v>
      </c>
      <c r="H255" s="395">
        <f aca="true" t="shared" si="79" ref="H255:M255">SUM(H256:H259)</f>
        <v>0</v>
      </c>
      <c r="I255" s="395">
        <f t="shared" si="79"/>
        <v>0</v>
      </c>
      <c r="J255" s="395">
        <f t="shared" si="79"/>
        <v>0</v>
      </c>
      <c r="K255" s="395">
        <f t="shared" si="79"/>
        <v>0</v>
      </c>
      <c r="L255" s="395">
        <f t="shared" si="79"/>
        <v>0</v>
      </c>
      <c r="M255" s="395">
        <f t="shared" si="79"/>
        <v>0</v>
      </c>
      <c r="N255" s="395"/>
      <c r="O255" s="395">
        <f>SUM(E255:J255)</f>
        <v>0</v>
      </c>
      <c r="P255" s="395"/>
      <c r="Q255" s="395"/>
      <c r="R255" s="395"/>
      <c r="S255" s="395"/>
      <c r="T255" s="395">
        <f>SUM(K255:P255)</f>
        <v>0</v>
      </c>
      <c r="U255" s="395">
        <f>SUM(U256:U259)</f>
        <v>0</v>
      </c>
      <c r="V255" s="395">
        <f>SUM(V256:V259)</f>
        <v>0</v>
      </c>
      <c r="W255" s="395">
        <f>SUM(W256:W259)</f>
        <v>0</v>
      </c>
      <c r="X255" s="395">
        <f>SUM(X256:X259)</f>
        <v>0</v>
      </c>
      <c r="Y255" s="395">
        <f t="shared" si="73"/>
        <v>0</v>
      </c>
      <c r="Z255" s="395">
        <f t="shared" si="63"/>
        <v>0</v>
      </c>
      <c r="AA255" s="395">
        <f>SUM(AA256:AA259)</f>
        <v>0</v>
      </c>
      <c r="AB255" s="395">
        <f>SUM(AB256:AB259)</f>
        <v>0</v>
      </c>
      <c r="AC255" s="395">
        <f>SUM(AC256:AC259)</f>
        <v>0</v>
      </c>
      <c r="AD255" s="395">
        <f>SUM(AD256:AD259)</f>
        <v>0</v>
      </c>
      <c r="AE255" s="395">
        <f t="shared" si="75"/>
        <v>0</v>
      </c>
      <c r="AF255" s="395">
        <f t="shared" si="68"/>
        <v>0</v>
      </c>
      <c r="AG255" s="395">
        <f>SUM(AG256:AG259)</f>
        <v>0</v>
      </c>
      <c r="AH255" s="395">
        <f>SUM(AH256:AH259)</f>
        <v>0</v>
      </c>
      <c r="AI255" s="395">
        <f>SUM(AI256:AI259)</f>
        <v>0</v>
      </c>
    </row>
    <row r="256" spans="2:35" ht="15" customHeight="1" hidden="1">
      <c r="B256" s="386"/>
      <c r="C256" s="386"/>
      <c r="D256" s="386">
        <f>'[1]GASTOS MATRIZ'!C252</f>
        <v>871</v>
      </c>
      <c r="E256" s="387" t="str">
        <f>'[1]GASTOS MATRIZ'!D252</f>
        <v>30</v>
      </c>
      <c r="F256" s="387" t="str">
        <f>'[1]GASTOS MATRIZ'!E252</f>
        <v>011</v>
      </c>
      <c r="G256" s="391" t="str">
        <f>'[1]GASTOS MATRIZ'!F252</f>
        <v>Transferencias de Capital al Sector Privado</v>
      </c>
      <c r="H256" s="389">
        <f>'[1]GASTOS MATRIZ'!G252</f>
        <v>0</v>
      </c>
      <c r="I256" s="389">
        <f>'[1]GASTOS MATRIZ'!H252</f>
        <v>0</v>
      </c>
      <c r="J256" s="389">
        <f>H256+I256</f>
        <v>0</v>
      </c>
      <c r="K256" s="389">
        <f>'[1]RESU X MES'!H242</f>
        <v>0</v>
      </c>
      <c r="L256" s="389">
        <f>'[1]RESU X MES'!H500</f>
        <v>0</v>
      </c>
      <c r="M256" s="389">
        <f>'[1]RESU X MES'!H759</f>
        <v>0</v>
      </c>
      <c r="N256" s="389"/>
      <c r="O256" s="389">
        <f>SUM(E256:J256)</f>
        <v>0</v>
      </c>
      <c r="P256" s="389"/>
      <c r="Q256" s="389"/>
      <c r="R256" s="389"/>
      <c r="S256" s="389"/>
      <c r="T256" s="389">
        <f>SUM(K256:P256)</f>
        <v>0</v>
      </c>
      <c r="U256" s="389">
        <f>'[1]RESU X MES'!H1283</f>
        <v>0</v>
      </c>
      <c r="V256" s="389">
        <f>'[1]RESU X MES'!H1545</f>
        <v>0</v>
      </c>
      <c r="W256" s="389">
        <f>'[1]RESU X MES'!H1808</f>
        <v>0</v>
      </c>
      <c r="X256" s="389">
        <f>'[1]RESU X MES'!H2069</f>
        <v>0</v>
      </c>
      <c r="Y256" s="389">
        <f t="shared" si="73"/>
        <v>0</v>
      </c>
      <c r="Z256" s="389">
        <f t="shared" si="63"/>
        <v>0</v>
      </c>
      <c r="AA256" s="389">
        <f>'[1]RESU X MES'!H2328</f>
        <v>0</v>
      </c>
      <c r="AB256" s="389">
        <f>'[1]RESU X MES'!H2590</f>
        <v>0</v>
      </c>
      <c r="AC256" s="389">
        <f>'[1]RESU X MES'!H2852</f>
        <v>0</v>
      </c>
      <c r="AD256" s="389">
        <f>'[1]RESU X MES'!H3116</f>
        <v>0</v>
      </c>
      <c r="AE256" s="389">
        <f t="shared" si="75"/>
        <v>0</v>
      </c>
      <c r="AF256" s="389">
        <f t="shared" si="68"/>
        <v>0</v>
      </c>
      <c r="AG256" s="389">
        <f>J256-AF256</f>
        <v>0</v>
      </c>
      <c r="AH256" s="389">
        <f>AF256-AI256</f>
        <v>0</v>
      </c>
      <c r="AI256" s="389">
        <f>'[1]RESU X MES'!N242+'[1]RESU X MES'!N500+'[1]RESU X MES'!N759+'[1]RESU X MES'!N1022+'[1]RESU X MES'!N1283+'[1]RESU X MES'!N1545+'[1]RESU X MES'!N1808+'[1]RESU X MES'!N2069+'[1]RESU X MES'!N2328+'[1]RESU X MES'!N2590+'[1]RESU X MES'!N2852+'[1]RESU X MES'!N3116</f>
        <v>0</v>
      </c>
    </row>
    <row r="257" spans="2:35" ht="15" customHeight="1" hidden="1">
      <c r="B257" s="386"/>
      <c r="C257" s="386"/>
      <c r="D257" s="386">
        <f>'[1]GASTOS MATRIZ'!C253</f>
        <v>871</v>
      </c>
      <c r="E257" s="387" t="str">
        <f>'[1]GASTOS MATRIZ'!D253</f>
        <v>30</v>
      </c>
      <c r="F257" s="387" t="str">
        <f>'[1]GASTOS MATRIZ'!E253</f>
        <v>011</v>
      </c>
      <c r="G257" s="391" t="str">
        <f>'[1]GASTOS MATRIZ'!F253</f>
        <v>Juntas Comunales y Vecinales</v>
      </c>
      <c r="H257" s="389">
        <f>'[1]GASTOS MATRIZ'!G253</f>
        <v>0</v>
      </c>
      <c r="I257" s="389">
        <f>'[1]GASTOS MATRIZ'!H253</f>
        <v>0</v>
      </c>
      <c r="J257" s="389">
        <f>H257+I257</f>
        <v>0</v>
      </c>
      <c r="K257" s="389">
        <f>'[1]RESU X MES'!H243</f>
        <v>0</v>
      </c>
      <c r="L257" s="389">
        <f>'[1]RESU X MES'!H501</f>
        <v>0</v>
      </c>
      <c r="M257" s="389">
        <f>'[1]RESU X MES'!H760</f>
        <v>0</v>
      </c>
      <c r="N257" s="389"/>
      <c r="O257" s="389">
        <f>SUM(E257:J257)</f>
        <v>0</v>
      </c>
      <c r="P257" s="389"/>
      <c r="Q257" s="389"/>
      <c r="R257" s="389"/>
      <c r="S257" s="389"/>
      <c r="T257" s="389">
        <f>SUM(K257:P257)</f>
        <v>0</v>
      </c>
      <c r="U257" s="389">
        <f>'[1]RESU X MES'!H1284</f>
        <v>0</v>
      </c>
      <c r="V257" s="389">
        <f>'[1]RESU X MES'!H1546</f>
        <v>0</v>
      </c>
      <c r="W257" s="389">
        <f>'[1]RESU X MES'!H1809</f>
        <v>0</v>
      </c>
      <c r="X257" s="389">
        <f>'[1]RESU X MES'!H2070</f>
        <v>0</v>
      </c>
      <c r="Y257" s="389">
        <f>SUM(U257:X257)</f>
        <v>0</v>
      </c>
      <c r="Z257" s="389">
        <f>T257+Y257</f>
        <v>0</v>
      </c>
      <c r="AA257" s="389">
        <f>'[1]RESU X MES'!H2329</f>
        <v>0</v>
      </c>
      <c r="AB257" s="389">
        <f>'[1]RESU X MES'!H2591</f>
        <v>0</v>
      </c>
      <c r="AC257" s="389">
        <f>'[1]RESU X MES'!H2853</f>
        <v>0</v>
      </c>
      <c r="AD257" s="389">
        <f>'[1]RESU X MES'!H3117</f>
        <v>0</v>
      </c>
      <c r="AE257" s="389">
        <f>SUM(AA257:AD257)</f>
        <v>0</v>
      </c>
      <c r="AF257" s="389">
        <f t="shared" si="68"/>
        <v>0</v>
      </c>
      <c r="AG257" s="389">
        <f>J257-AF257</f>
        <v>0</v>
      </c>
      <c r="AH257" s="389">
        <f>AF257-AI257</f>
        <v>0</v>
      </c>
      <c r="AI257" s="389">
        <f>'[1]RESU X MES'!N243+'[1]RESU X MES'!N501+'[1]RESU X MES'!N760+'[1]RESU X MES'!N1023+'[1]RESU X MES'!N1284+'[1]RESU X MES'!N1546+'[1]RESU X MES'!N1809+'[1]RESU X MES'!N2070+'[1]RESU X MES'!N2329+'[1]RESU X MES'!N2591+'[1]RESU X MES'!N2853+'[1]RESU X MES'!N3117</f>
        <v>0</v>
      </c>
    </row>
    <row r="258" spans="2:35" ht="15" customHeight="1" hidden="1">
      <c r="B258" s="386"/>
      <c r="C258" s="386"/>
      <c r="D258" s="386"/>
      <c r="E258" s="387"/>
      <c r="F258" s="387"/>
      <c r="G258" s="391"/>
      <c r="H258" s="389"/>
      <c r="I258" s="389"/>
      <c r="J258" s="389"/>
      <c r="K258" s="389"/>
      <c r="L258" s="389"/>
      <c r="M258" s="389"/>
      <c r="N258" s="389"/>
      <c r="O258" s="389"/>
      <c r="P258" s="389"/>
      <c r="Q258" s="389"/>
      <c r="R258" s="389"/>
      <c r="S258" s="389"/>
      <c r="T258" s="389"/>
      <c r="U258" s="389"/>
      <c r="V258" s="389"/>
      <c r="W258" s="389"/>
      <c r="X258" s="389"/>
      <c r="Y258" s="389"/>
      <c r="Z258" s="389">
        <f t="shared" si="63"/>
        <v>0</v>
      </c>
      <c r="AA258" s="389"/>
      <c r="AB258" s="389"/>
      <c r="AC258" s="389"/>
      <c r="AD258" s="389"/>
      <c r="AE258" s="389"/>
      <c r="AF258" s="389">
        <f t="shared" si="68"/>
        <v>0</v>
      </c>
      <c r="AG258" s="389"/>
      <c r="AH258" s="389"/>
      <c r="AI258" s="389"/>
    </row>
    <row r="259" spans="2:35" ht="15" customHeight="1" hidden="1">
      <c r="B259" s="386"/>
      <c r="C259" s="386"/>
      <c r="D259" s="386"/>
      <c r="E259" s="387"/>
      <c r="F259" s="387"/>
      <c r="G259" s="391"/>
      <c r="H259" s="389"/>
      <c r="I259" s="389"/>
      <c r="J259" s="389"/>
      <c r="K259" s="389"/>
      <c r="L259" s="389"/>
      <c r="M259" s="389"/>
      <c r="N259" s="389"/>
      <c r="O259" s="389"/>
      <c r="P259" s="389"/>
      <c r="Q259" s="389"/>
      <c r="R259" s="389"/>
      <c r="S259" s="389"/>
      <c r="T259" s="389"/>
      <c r="U259" s="389"/>
      <c r="V259" s="389"/>
      <c r="W259" s="389"/>
      <c r="X259" s="389"/>
      <c r="Y259" s="389"/>
      <c r="Z259" s="389">
        <f t="shared" si="63"/>
        <v>0</v>
      </c>
      <c r="AA259" s="389"/>
      <c r="AB259" s="389"/>
      <c r="AC259" s="389"/>
      <c r="AD259" s="389"/>
      <c r="AE259" s="389"/>
      <c r="AF259" s="389">
        <f t="shared" si="68"/>
        <v>0</v>
      </c>
      <c r="AG259" s="389"/>
      <c r="AH259" s="389"/>
      <c r="AI259" s="389"/>
    </row>
    <row r="260" spans="2:35" ht="15" customHeight="1" hidden="1">
      <c r="B260" s="386"/>
      <c r="C260" s="386"/>
      <c r="D260" s="386"/>
      <c r="E260" s="387"/>
      <c r="F260" s="387"/>
      <c r="G260" s="391"/>
      <c r="H260" s="389"/>
      <c r="I260" s="389"/>
      <c r="J260" s="389"/>
      <c r="K260" s="389"/>
      <c r="L260" s="389"/>
      <c r="M260" s="389"/>
      <c r="N260" s="389"/>
      <c r="O260" s="389"/>
      <c r="P260" s="389"/>
      <c r="Q260" s="389"/>
      <c r="R260" s="389"/>
      <c r="S260" s="389"/>
      <c r="T260" s="389"/>
      <c r="U260" s="389"/>
      <c r="V260" s="389"/>
      <c r="W260" s="389"/>
      <c r="X260" s="389"/>
      <c r="Y260" s="389"/>
      <c r="Z260" s="389">
        <f t="shared" si="63"/>
        <v>0</v>
      </c>
      <c r="AA260" s="389"/>
      <c r="AB260" s="389"/>
      <c r="AC260" s="389"/>
      <c r="AD260" s="389"/>
      <c r="AE260" s="389"/>
      <c r="AF260" s="389">
        <f t="shared" si="68"/>
        <v>0</v>
      </c>
      <c r="AG260" s="389"/>
      <c r="AH260" s="389"/>
      <c r="AI260" s="389"/>
    </row>
    <row r="261" spans="2:35" ht="28.5">
      <c r="B261" s="391"/>
      <c r="C261" s="383">
        <f>'[1]GASTOS MATRIZ'!B257</f>
        <v>890</v>
      </c>
      <c r="D261" s="386"/>
      <c r="E261" s="387"/>
      <c r="F261" s="387"/>
      <c r="G261" s="403" t="str">
        <f>'[1]GASTOS MATRIZ'!F257</f>
        <v>Otras Transferencias de Capital al Sector Público o Privado</v>
      </c>
      <c r="H261" s="395">
        <f aca="true" t="shared" si="80" ref="H261:M261">H262</f>
        <v>0</v>
      </c>
      <c r="I261" s="395">
        <f t="shared" si="80"/>
        <v>0</v>
      </c>
      <c r="J261" s="395">
        <f t="shared" si="80"/>
        <v>0</v>
      </c>
      <c r="K261" s="395">
        <f t="shared" si="80"/>
        <v>0</v>
      </c>
      <c r="L261" s="395">
        <f t="shared" si="80"/>
        <v>0</v>
      </c>
      <c r="M261" s="395">
        <f t="shared" si="80"/>
        <v>0</v>
      </c>
      <c r="N261" s="395">
        <v>0</v>
      </c>
      <c r="O261" s="395">
        <f>SUM(E261:J261)</f>
        <v>0</v>
      </c>
      <c r="P261" s="395">
        <v>0</v>
      </c>
      <c r="Q261" s="395">
        <v>0</v>
      </c>
      <c r="R261" s="395"/>
      <c r="S261" s="395"/>
      <c r="T261" s="395">
        <f>SUM(K261:P261)</f>
        <v>0</v>
      </c>
      <c r="U261" s="395">
        <f>U262</f>
        <v>0</v>
      </c>
      <c r="V261" s="395">
        <f>V262</f>
        <v>0</v>
      </c>
      <c r="W261" s="395">
        <f>W262</f>
        <v>0</v>
      </c>
      <c r="X261" s="395">
        <f>X262</f>
        <v>0</v>
      </c>
      <c r="Y261" s="395">
        <f t="shared" si="73"/>
        <v>0</v>
      </c>
      <c r="Z261" s="395">
        <f t="shared" si="63"/>
        <v>0</v>
      </c>
      <c r="AA261" s="395">
        <f>AA262</f>
        <v>0</v>
      </c>
      <c r="AB261" s="395">
        <f>AB262</f>
        <v>0</v>
      </c>
      <c r="AC261" s="395">
        <f>AC262</f>
        <v>0</v>
      </c>
      <c r="AD261" s="395">
        <f>AD262</f>
        <v>0</v>
      </c>
      <c r="AE261" s="395">
        <f t="shared" si="75"/>
        <v>0</v>
      </c>
      <c r="AF261" s="395">
        <f t="shared" si="68"/>
        <v>0</v>
      </c>
      <c r="AG261" s="395">
        <f>AG262</f>
        <v>0</v>
      </c>
      <c r="AH261" s="395">
        <f>AH262</f>
        <v>0</v>
      </c>
      <c r="AI261" s="395">
        <f>AI262</f>
        <v>0</v>
      </c>
    </row>
    <row r="262" spans="2:35" ht="14.25">
      <c r="B262" s="386"/>
      <c r="C262" s="386"/>
      <c r="D262" s="386">
        <f>'[1]GASTOS MATRIZ'!C258</f>
        <v>894</v>
      </c>
      <c r="E262" s="387" t="str">
        <f>'[1]GASTOS MATRIZ'!D258</f>
        <v>30</v>
      </c>
      <c r="F262" s="387" t="str">
        <f>'[1]GASTOS MATRIZ'!E258</f>
        <v>011</v>
      </c>
      <c r="G262" s="391" t="str">
        <f>'[1]GASTOS MATRIZ'!F258</f>
        <v>Otras Transferencias de Capital al Sector Público</v>
      </c>
      <c r="H262" s="389">
        <f>'[1]GASTOS MATRIZ'!G258</f>
        <v>0</v>
      </c>
      <c r="I262" s="389">
        <f>'[1]GASTOS MATRIZ'!H258</f>
        <v>0</v>
      </c>
      <c r="J262" s="389">
        <f>H262+I262</f>
        <v>0</v>
      </c>
      <c r="K262" s="389">
        <f>'[1]RESU X MES'!H248</f>
        <v>0</v>
      </c>
      <c r="L262" s="389">
        <f>'[1]RESU X MES'!H506</f>
        <v>0</v>
      </c>
      <c r="M262" s="389">
        <f>'[1]RESU X MES'!H765</f>
        <v>0</v>
      </c>
      <c r="N262" s="389">
        <v>0</v>
      </c>
      <c r="O262" s="389">
        <f>SUM(E262:J262)</f>
        <v>0</v>
      </c>
      <c r="P262" s="389">
        <v>0</v>
      </c>
      <c r="Q262" s="389">
        <v>0</v>
      </c>
      <c r="R262" s="389"/>
      <c r="S262" s="389"/>
      <c r="T262" s="389">
        <f>SUM(K262:P262)</f>
        <v>0</v>
      </c>
      <c r="U262" s="389">
        <f>'[1]RESU X MES'!H1289</f>
        <v>0</v>
      </c>
      <c r="V262" s="389">
        <f>'[1]RESU X MES'!H1551</f>
        <v>0</v>
      </c>
      <c r="W262" s="389">
        <f>'[1]RESU X MES'!H1814</f>
        <v>0</v>
      </c>
      <c r="X262" s="389">
        <f>'[1]RESU X MES'!H2075</f>
        <v>0</v>
      </c>
      <c r="Y262" s="389">
        <f t="shared" si="73"/>
        <v>0</v>
      </c>
      <c r="Z262" s="389">
        <f t="shared" si="63"/>
        <v>0</v>
      </c>
      <c r="AA262" s="389">
        <f>'[1]RESU X MES'!H2334</f>
        <v>0</v>
      </c>
      <c r="AB262" s="389">
        <f>'[1]RESU X MES'!H2596</f>
        <v>0</v>
      </c>
      <c r="AC262" s="389">
        <f>'[1]RESU X MES'!H2858</f>
        <v>0</v>
      </c>
      <c r="AD262" s="389">
        <f>'[1]RESU X MES'!H3122</f>
        <v>0</v>
      </c>
      <c r="AE262" s="389">
        <f t="shared" si="75"/>
        <v>0</v>
      </c>
      <c r="AF262" s="389">
        <f t="shared" si="68"/>
        <v>0</v>
      </c>
      <c r="AG262" s="389">
        <f>J262-AF262</f>
        <v>0</v>
      </c>
      <c r="AH262" s="389">
        <f>AF262-AI262</f>
        <v>0</v>
      </c>
      <c r="AI262" s="389">
        <f>'[1]RESU X MES'!N248+'[1]RESU X MES'!N506+'[1]RESU X MES'!N765+'[1]RESU X MES'!N1028+'[1]RESU X MES'!N1289+'[1]RESU X MES'!N1551+'[1]RESU X MES'!N1814+'[1]RESU X MES'!N2075+'[1]RESU X MES'!N2334+'[1]RESU X MES'!N2596+'[1]RESU X MES'!N2858+'[1]RESU X MES'!N3122</f>
        <v>0</v>
      </c>
    </row>
    <row r="263" spans="2:35" ht="14.25">
      <c r="B263" s="386"/>
      <c r="C263" s="386"/>
      <c r="D263" s="386"/>
      <c r="E263" s="387"/>
      <c r="F263" s="387"/>
      <c r="G263" s="391"/>
      <c r="H263" s="389"/>
      <c r="I263" s="389"/>
      <c r="J263" s="389"/>
      <c r="K263" s="389"/>
      <c r="L263" s="389"/>
      <c r="M263" s="389"/>
      <c r="N263" s="389"/>
      <c r="O263" s="389"/>
      <c r="P263" s="389"/>
      <c r="Q263" s="389"/>
      <c r="R263" s="389"/>
      <c r="S263" s="389"/>
      <c r="T263" s="389"/>
      <c r="U263" s="389"/>
      <c r="V263" s="389"/>
      <c r="W263" s="389"/>
      <c r="X263" s="389"/>
      <c r="Y263" s="389"/>
      <c r="Z263" s="389">
        <f t="shared" si="63"/>
        <v>0</v>
      </c>
      <c r="AA263" s="389"/>
      <c r="AB263" s="389"/>
      <c r="AC263" s="389"/>
      <c r="AD263" s="389"/>
      <c r="AE263" s="389"/>
      <c r="AF263" s="389">
        <f t="shared" si="68"/>
        <v>0</v>
      </c>
      <c r="AG263" s="389"/>
      <c r="AH263" s="389"/>
      <c r="AI263" s="389"/>
    </row>
    <row r="264" spans="2:35" ht="14.25">
      <c r="B264" s="381">
        <f>'[1]GASTOS MATRIZ'!A260</f>
        <v>900</v>
      </c>
      <c r="C264" s="386"/>
      <c r="D264" s="386"/>
      <c r="E264" s="387"/>
      <c r="F264" s="387"/>
      <c r="G264" s="383" t="str">
        <f>'[1]GASTOS MATRIZ'!F260</f>
        <v>OTROS GASTOS</v>
      </c>
      <c r="H264" s="382">
        <f aca="true" t="shared" si="81" ref="H264:AI264">H265</f>
        <v>168000000</v>
      </c>
      <c r="I264" s="382">
        <f t="shared" si="81"/>
        <v>-78285121</v>
      </c>
      <c r="J264" s="382">
        <f t="shared" si="81"/>
        <v>89714879</v>
      </c>
      <c r="K264" s="382">
        <f t="shared" si="81"/>
        <v>0</v>
      </c>
      <c r="L264" s="382">
        <f t="shared" si="81"/>
        <v>0</v>
      </c>
      <c r="M264" s="382">
        <f t="shared" si="81"/>
        <v>0</v>
      </c>
      <c r="N264" s="382">
        <f t="shared" si="81"/>
        <v>0</v>
      </c>
      <c r="O264" s="382">
        <f t="shared" si="81"/>
        <v>0</v>
      </c>
      <c r="P264" s="382">
        <f t="shared" si="81"/>
        <v>0</v>
      </c>
      <c r="Q264" s="382">
        <f t="shared" si="81"/>
        <v>0</v>
      </c>
      <c r="R264" s="382">
        <f t="shared" si="81"/>
        <v>0</v>
      </c>
      <c r="S264" s="382">
        <f t="shared" si="81"/>
        <v>0</v>
      </c>
      <c r="T264" s="382">
        <f t="shared" si="81"/>
        <v>0</v>
      </c>
      <c r="U264" s="382">
        <f t="shared" si="81"/>
        <v>0</v>
      </c>
      <c r="V264" s="382">
        <f t="shared" si="81"/>
        <v>0</v>
      </c>
      <c r="W264" s="382">
        <f t="shared" si="81"/>
        <v>0</v>
      </c>
      <c r="X264" s="382">
        <f t="shared" si="81"/>
        <v>0</v>
      </c>
      <c r="Y264" s="382">
        <f t="shared" si="81"/>
        <v>0</v>
      </c>
      <c r="Z264" s="382">
        <f t="shared" si="81"/>
        <v>0</v>
      </c>
      <c r="AA264" s="382">
        <f t="shared" si="81"/>
        <v>0</v>
      </c>
      <c r="AB264" s="382">
        <f t="shared" si="81"/>
        <v>0</v>
      </c>
      <c r="AC264" s="382">
        <f t="shared" si="81"/>
        <v>0</v>
      </c>
      <c r="AD264" s="382">
        <f t="shared" si="81"/>
        <v>0</v>
      </c>
      <c r="AE264" s="382">
        <f t="shared" si="81"/>
        <v>0</v>
      </c>
      <c r="AF264" s="382">
        <f t="shared" si="68"/>
        <v>0</v>
      </c>
      <c r="AG264" s="382">
        <f t="shared" si="81"/>
        <v>89714879</v>
      </c>
      <c r="AH264" s="382">
        <f t="shared" si="81"/>
        <v>0</v>
      </c>
      <c r="AI264" s="382">
        <f t="shared" si="81"/>
        <v>0</v>
      </c>
    </row>
    <row r="265" spans="2:35" ht="28.5">
      <c r="B265" s="386"/>
      <c r="C265" s="381">
        <f>'[1]GASTOS MATRIZ'!B261</f>
        <v>980</v>
      </c>
      <c r="D265" s="386"/>
      <c r="E265" s="387"/>
      <c r="F265" s="387"/>
      <c r="G265" s="403" t="str">
        <f>'[1]GASTOS MATRIZ'!F261</f>
        <v>Deudas Pend. de Pago de Gastos de Capital de Ejerc. Anter.</v>
      </c>
      <c r="H265" s="395">
        <f>+H266</f>
        <v>168000000</v>
      </c>
      <c r="I265" s="395">
        <f aca="true" t="shared" si="82" ref="I265:AI265">+I266</f>
        <v>-78285121</v>
      </c>
      <c r="J265" s="395">
        <f t="shared" si="82"/>
        <v>89714879</v>
      </c>
      <c r="K265" s="395">
        <f t="shared" si="82"/>
        <v>0</v>
      </c>
      <c r="L265" s="395">
        <f t="shared" si="82"/>
        <v>0</v>
      </c>
      <c r="M265" s="395">
        <f t="shared" si="82"/>
        <v>0</v>
      </c>
      <c r="N265" s="395">
        <f t="shared" si="82"/>
        <v>0</v>
      </c>
      <c r="O265" s="395">
        <f t="shared" si="82"/>
        <v>0</v>
      </c>
      <c r="P265" s="395">
        <f t="shared" si="82"/>
        <v>0</v>
      </c>
      <c r="Q265" s="395">
        <f t="shared" si="82"/>
        <v>0</v>
      </c>
      <c r="R265" s="395">
        <f t="shared" si="82"/>
        <v>0</v>
      </c>
      <c r="S265" s="395">
        <f t="shared" si="82"/>
        <v>0</v>
      </c>
      <c r="T265" s="395">
        <f t="shared" si="82"/>
        <v>0</v>
      </c>
      <c r="U265" s="395">
        <f t="shared" si="82"/>
        <v>0</v>
      </c>
      <c r="V265" s="395">
        <f t="shared" si="82"/>
        <v>0</v>
      </c>
      <c r="W265" s="395">
        <f t="shared" si="82"/>
        <v>0</v>
      </c>
      <c r="X265" s="395">
        <f t="shared" si="82"/>
        <v>0</v>
      </c>
      <c r="Y265" s="395">
        <f t="shared" si="82"/>
        <v>0</v>
      </c>
      <c r="Z265" s="395">
        <f t="shared" si="82"/>
        <v>0</v>
      </c>
      <c r="AA265" s="395">
        <f t="shared" si="82"/>
        <v>0</v>
      </c>
      <c r="AB265" s="395">
        <f t="shared" si="82"/>
        <v>0</v>
      </c>
      <c r="AC265" s="395">
        <f t="shared" si="82"/>
        <v>0</v>
      </c>
      <c r="AD265" s="395">
        <f t="shared" si="82"/>
        <v>0</v>
      </c>
      <c r="AE265" s="395">
        <f t="shared" si="82"/>
        <v>0</v>
      </c>
      <c r="AF265" s="395">
        <f t="shared" si="68"/>
        <v>0</v>
      </c>
      <c r="AG265" s="395">
        <f t="shared" si="82"/>
        <v>89714879</v>
      </c>
      <c r="AH265" s="395">
        <f t="shared" si="82"/>
        <v>0</v>
      </c>
      <c r="AI265" s="395">
        <f t="shared" si="82"/>
        <v>0</v>
      </c>
    </row>
    <row r="266" spans="2:35" ht="14.25">
      <c r="B266" s="386"/>
      <c r="C266" s="386"/>
      <c r="D266" s="386">
        <f>'[1]GASTOS MATRIZ'!C262</f>
        <v>980</v>
      </c>
      <c r="E266" s="387" t="str">
        <f>'[1]GASTOS MATRIZ'!D262</f>
        <v>30</v>
      </c>
      <c r="F266" s="387" t="str">
        <f>'[1]GASTOS MATRIZ'!E262</f>
        <v>011</v>
      </c>
      <c r="G266" s="391" t="str">
        <f>'[1]GASTOS MATRIZ'!F262</f>
        <v>Deudas Pend. de Pago de Gastos de Capital de Ejercicios Anter.</v>
      </c>
      <c r="H266" s="389">
        <f>'[1]GASTOS MATRIZ'!G262</f>
        <v>168000000</v>
      </c>
      <c r="I266" s="389">
        <f>'[1]GASTOS MATRIZ'!H262</f>
        <v>-78285121</v>
      </c>
      <c r="J266" s="389">
        <f>H266+I266</f>
        <v>89714879</v>
      </c>
      <c r="K266" s="389">
        <f>'[1]RESU X MES'!H252</f>
        <v>0</v>
      </c>
      <c r="L266" s="389">
        <f>'[1]RESU X MES'!H510</f>
        <v>0</v>
      </c>
      <c r="M266" s="389">
        <f>'[1]RESU X MES'!H769</f>
        <v>0</v>
      </c>
      <c r="N266" s="389">
        <v>0</v>
      </c>
      <c r="O266" s="389">
        <f>+K266+L266+M266+N266</f>
        <v>0</v>
      </c>
      <c r="P266" s="389">
        <v>0</v>
      </c>
      <c r="Q266" s="389">
        <v>0</v>
      </c>
      <c r="R266" s="389"/>
      <c r="S266" s="389"/>
      <c r="T266" s="389">
        <f>SUM(K266:P266)</f>
        <v>0</v>
      </c>
      <c r="U266" s="389">
        <f>'[1]RESU X MES'!H1293</f>
        <v>0</v>
      </c>
      <c r="V266" s="389">
        <f>'[1]RESU X MES'!H1555</f>
        <v>0</v>
      </c>
      <c r="W266" s="389">
        <f>'[1]RESU X MES'!H1818</f>
        <v>0</v>
      </c>
      <c r="X266" s="389">
        <f>'[1]RESU X MES'!H2079</f>
        <v>0</v>
      </c>
      <c r="Y266" s="389">
        <f t="shared" si="73"/>
        <v>0</v>
      </c>
      <c r="Z266" s="389">
        <f t="shared" si="63"/>
        <v>0</v>
      </c>
      <c r="AA266" s="389">
        <f>'[1]RESU X MES'!H2338</f>
        <v>0</v>
      </c>
      <c r="AB266" s="389">
        <f>'[1]RESU X MES'!H2600</f>
        <v>0</v>
      </c>
      <c r="AC266" s="389">
        <f>'[1]RESU X MES'!H2862</f>
        <v>0</v>
      </c>
      <c r="AD266" s="389">
        <f>'[1]RESU X MES'!H3126</f>
        <v>0</v>
      </c>
      <c r="AE266" s="389">
        <f t="shared" si="75"/>
        <v>0</v>
      </c>
      <c r="AF266" s="389">
        <f t="shared" si="68"/>
        <v>0</v>
      </c>
      <c r="AG266" s="389">
        <f>J266-AF266</f>
        <v>89714879</v>
      </c>
      <c r="AH266" s="389">
        <f>AF266-AI266</f>
        <v>0</v>
      </c>
      <c r="AI266" s="389">
        <f>'[1]RESU X MES'!N252+'[1]RESU X MES'!N510+'[1]RESU X MES'!N769+'[1]RESU X MES'!N1032+'[1]RESU X MES'!N1293+'[1]RESU X MES'!N1555+'[1]RESU X MES'!N1818+'[1]RESU X MES'!N2079+'[1]RESU X MES'!N2338+'[1]RESU X MES'!N2600+'[1]RESU X MES'!N2862+'[1]RESU X MES'!N3126</f>
        <v>0</v>
      </c>
    </row>
    <row r="267" spans="2:35" ht="15" customHeight="1" hidden="1">
      <c r="B267" s="386"/>
      <c r="C267" s="386"/>
      <c r="D267" s="386"/>
      <c r="E267" s="387"/>
      <c r="F267" s="387"/>
      <c r="G267" s="391"/>
      <c r="H267" s="389"/>
      <c r="I267" s="389"/>
      <c r="J267" s="389"/>
      <c r="K267" s="389"/>
      <c r="L267" s="389"/>
      <c r="M267" s="389"/>
      <c r="N267" s="389"/>
      <c r="O267" s="389"/>
      <c r="P267" s="389"/>
      <c r="Q267" s="389"/>
      <c r="R267" s="389"/>
      <c r="S267" s="389"/>
      <c r="T267" s="389"/>
      <c r="U267" s="389"/>
      <c r="V267" s="389"/>
      <c r="W267" s="389"/>
      <c r="X267" s="389"/>
      <c r="Y267" s="389"/>
      <c r="Z267" s="389">
        <f t="shared" si="63"/>
        <v>0</v>
      </c>
      <c r="AA267" s="389"/>
      <c r="AB267" s="389"/>
      <c r="AC267" s="389"/>
      <c r="AD267" s="389"/>
      <c r="AE267" s="389"/>
      <c r="AF267" s="389">
        <f t="shared" si="68"/>
        <v>0</v>
      </c>
      <c r="AG267" s="389"/>
      <c r="AH267" s="389"/>
      <c r="AI267" s="389"/>
    </row>
    <row r="268" spans="2:35" ht="15" customHeight="1" hidden="1">
      <c r="B268" s="386"/>
      <c r="C268" s="386"/>
      <c r="D268" s="386"/>
      <c r="E268" s="387"/>
      <c r="F268" s="387"/>
      <c r="G268" s="391"/>
      <c r="H268" s="389"/>
      <c r="I268" s="389"/>
      <c r="J268" s="389"/>
      <c r="K268" s="389"/>
      <c r="L268" s="389"/>
      <c r="M268" s="389"/>
      <c r="N268" s="389"/>
      <c r="O268" s="389"/>
      <c r="P268" s="389"/>
      <c r="Q268" s="389"/>
      <c r="R268" s="389"/>
      <c r="S268" s="389"/>
      <c r="T268" s="389"/>
      <c r="U268" s="389"/>
      <c r="V268" s="389"/>
      <c r="W268" s="389"/>
      <c r="X268" s="389"/>
      <c r="Y268" s="389"/>
      <c r="Z268" s="389">
        <f t="shared" si="63"/>
        <v>0</v>
      </c>
      <c r="AA268" s="389"/>
      <c r="AB268" s="389"/>
      <c r="AC268" s="389"/>
      <c r="AD268" s="389"/>
      <c r="AE268" s="389"/>
      <c r="AF268" s="389">
        <f t="shared" si="68"/>
        <v>0</v>
      </c>
      <c r="AG268" s="389"/>
      <c r="AH268" s="389"/>
      <c r="AI268" s="389"/>
    </row>
    <row r="269" spans="2:35" ht="14.25">
      <c r="B269" s="386"/>
      <c r="C269" s="386"/>
      <c r="D269" s="386"/>
      <c r="E269" s="387"/>
      <c r="F269" s="387"/>
      <c r="G269" s="391"/>
      <c r="H269" s="389"/>
      <c r="I269" s="389"/>
      <c r="J269" s="389"/>
      <c r="K269" s="389"/>
      <c r="L269" s="389"/>
      <c r="M269" s="389"/>
      <c r="N269" s="389"/>
      <c r="O269" s="389"/>
      <c r="P269" s="389"/>
      <c r="Q269" s="389"/>
      <c r="R269" s="389"/>
      <c r="S269" s="389"/>
      <c r="T269" s="389"/>
      <c r="U269" s="389"/>
      <c r="V269" s="389"/>
      <c r="W269" s="389"/>
      <c r="X269" s="389"/>
      <c r="Y269" s="389"/>
      <c r="Z269" s="389">
        <f t="shared" si="63"/>
        <v>0</v>
      </c>
      <c r="AA269" s="389"/>
      <c r="AB269" s="389"/>
      <c r="AC269" s="389"/>
      <c r="AD269" s="389"/>
      <c r="AE269" s="389"/>
      <c r="AF269" s="389">
        <f t="shared" si="68"/>
        <v>0</v>
      </c>
      <c r="AG269" s="389"/>
      <c r="AH269" s="389"/>
      <c r="AI269" s="389"/>
    </row>
    <row r="270" spans="2:35" ht="14.25">
      <c r="B270" s="381"/>
      <c r="C270" s="381"/>
      <c r="D270" s="381"/>
      <c r="E270" s="381"/>
      <c r="F270" s="381"/>
      <c r="G270" s="381" t="s">
        <v>17</v>
      </c>
      <c r="H270" s="382">
        <f>H21+H204</f>
        <v>1453110226</v>
      </c>
      <c r="I270" s="382">
        <f aca="true" t="shared" si="83" ref="I270:AI270">I21+I204</f>
        <v>-183884977</v>
      </c>
      <c r="J270" s="382">
        <f t="shared" si="83"/>
        <v>1269225249</v>
      </c>
      <c r="K270" s="382">
        <f t="shared" si="83"/>
        <v>0</v>
      </c>
      <c r="L270" s="382">
        <f t="shared" si="83"/>
        <v>4603333</v>
      </c>
      <c r="M270" s="382">
        <f t="shared" si="83"/>
        <v>6500000</v>
      </c>
      <c r="N270" s="382">
        <f t="shared" si="83"/>
        <v>156316000</v>
      </c>
      <c r="O270" s="382">
        <f t="shared" si="83"/>
        <v>167419333</v>
      </c>
      <c r="P270" s="382">
        <f t="shared" si="83"/>
        <v>84800000</v>
      </c>
      <c r="Q270" s="382">
        <f t="shared" si="83"/>
        <v>50000000</v>
      </c>
      <c r="R270" s="382">
        <f t="shared" si="83"/>
        <v>19800000</v>
      </c>
      <c r="S270" s="382">
        <f t="shared" si="83"/>
        <v>39900000</v>
      </c>
      <c r="T270" s="382">
        <f t="shared" si="83"/>
        <v>419638666</v>
      </c>
      <c r="U270" s="382">
        <f t="shared" si="83"/>
        <v>0</v>
      </c>
      <c r="V270" s="382">
        <f t="shared" si="83"/>
        <v>0</v>
      </c>
      <c r="W270" s="382">
        <f t="shared" si="83"/>
        <v>0</v>
      </c>
      <c r="X270" s="382">
        <f t="shared" si="83"/>
        <v>0</v>
      </c>
      <c r="Y270" s="382">
        <f t="shared" si="83"/>
        <v>0</v>
      </c>
      <c r="Z270" s="382">
        <f t="shared" si="83"/>
        <v>419638666</v>
      </c>
      <c r="AA270" s="382">
        <f t="shared" si="83"/>
        <v>0</v>
      </c>
      <c r="AB270" s="382">
        <f t="shared" si="83"/>
        <v>0</v>
      </c>
      <c r="AC270" s="382">
        <f t="shared" si="83"/>
        <v>0</v>
      </c>
      <c r="AD270" s="382">
        <f t="shared" si="83"/>
        <v>0</v>
      </c>
      <c r="AE270" s="382">
        <f t="shared" si="83"/>
        <v>0</v>
      </c>
      <c r="AF270" s="382">
        <f t="shared" si="83"/>
        <v>361919333</v>
      </c>
      <c r="AG270" s="382">
        <f t="shared" si="83"/>
        <v>907305916</v>
      </c>
      <c r="AH270" s="382">
        <f t="shared" si="83"/>
        <v>361919333</v>
      </c>
      <c r="AI270" s="382">
        <f t="shared" si="83"/>
        <v>0</v>
      </c>
    </row>
    <row r="271" spans="8:32" s="445" customFormat="1" ht="14.25">
      <c r="H271" s="445">
        <v>1453110226</v>
      </c>
      <c r="I271" s="445">
        <v>-183884977</v>
      </c>
      <c r="J271" s="445">
        <v>1269225249</v>
      </c>
      <c r="K271" s="445">
        <v>0</v>
      </c>
      <c r="L271" s="445">
        <v>4603333</v>
      </c>
      <c r="M271" s="445">
        <v>6500000</v>
      </c>
      <c r="N271" s="445">
        <v>156316000</v>
      </c>
      <c r="O271" s="445">
        <f>+L271+M271+N271</f>
        <v>167419333</v>
      </c>
      <c r="P271" s="445">
        <v>84800000</v>
      </c>
      <c r="Q271" s="445">
        <v>50000000</v>
      </c>
      <c r="R271" s="445">
        <f>9900000+9900000</f>
        <v>19800000</v>
      </c>
      <c r="S271" s="445">
        <f>30000000+9900000</f>
        <v>39900000</v>
      </c>
      <c r="AF271" s="445">
        <f>+O271+P271+Q271+R271+S271</f>
        <v>361919333</v>
      </c>
    </row>
    <row r="272" spans="8:19" s="445" customFormat="1" ht="14.25">
      <c r="H272" s="445">
        <f>+H270-H271</f>
        <v>0</v>
      </c>
      <c r="I272" s="445">
        <f aca="true" t="shared" si="84" ref="I272:S272">+I270-I271</f>
        <v>0</v>
      </c>
      <c r="J272" s="445">
        <f t="shared" si="84"/>
        <v>0</v>
      </c>
      <c r="K272" s="445">
        <f t="shared" si="84"/>
        <v>0</v>
      </c>
      <c r="L272" s="445">
        <f t="shared" si="84"/>
        <v>0</v>
      </c>
      <c r="M272" s="445">
        <f t="shared" si="84"/>
        <v>0</v>
      </c>
      <c r="N272" s="445">
        <f t="shared" si="84"/>
        <v>0</v>
      </c>
      <c r="P272" s="445">
        <f t="shared" si="84"/>
        <v>0</v>
      </c>
      <c r="Q272" s="445">
        <f t="shared" si="84"/>
        <v>0</v>
      </c>
      <c r="R272" s="445">
        <f t="shared" si="84"/>
        <v>0</v>
      </c>
      <c r="S272" s="445">
        <f t="shared" si="84"/>
        <v>0</v>
      </c>
    </row>
    <row r="273" ht="14.25">
      <c r="I273" s="384"/>
    </row>
    <row r="276" spans="2:35" s="405" customFormat="1" ht="14.25">
      <c r="B276" s="544" t="s">
        <v>508</v>
      </c>
      <c r="C276" s="544"/>
      <c r="D276" s="544"/>
      <c r="E276" s="544"/>
      <c r="F276" s="544"/>
      <c r="G276" s="544"/>
      <c r="H276" s="406"/>
      <c r="I276" s="406"/>
      <c r="J276" s="406"/>
      <c r="K276" s="406" t="s">
        <v>558</v>
      </c>
      <c r="L276" s="406"/>
      <c r="M276" s="407"/>
      <c r="N276" s="407"/>
      <c r="O276" s="407"/>
      <c r="P276" s="407"/>
      <c r="Q276" s="407"/>
      <c r="R276" s="407"/>
      <c r="S276" s="407"/>
      <c r="T276" s="407"/>
      <c r="U276" s="407"/>
      <c r="V276" s="407"/>
      <c r="W276" s="407"/>
      <c r="X276" s="407"/>
      <c r="Y276" s="407"/>
      <c r="Z276" s="407"/>
      <c r="AA276" s="407"/>
      <c r="AB276" s="406"/>
      <c r="AC276" s="406"/>
      <c r="AD276" s="406"/>
      <c r="AE276" s="406"/>
      <c r="AF276" s="406"/>
      <c r="AG276" s="406" t="s">
        <v>542</v>
      </c>
      <c r="AI276" s="408"/>
    </row>
    <row r="277" spans="2:33" s="409" customFormat="1" ht="14.25">
      <c r="B277" s="545" t="s">
        <v>498</v>
      </c>
      <c r="C277" s="545"/>
      <c r="D277" s="545"/>
      <c r="E277" s="545"/>
      <c r="F277" s="545"/>
      <c r="G277" s="545"/>
      <c r="H277" s="410"/>
      <c r="I277" s="410"/>
      <c r="J277" s="410"/>
      <c r="K277" s="410" t="s">
        <v>477</v>
      </c>
      <c r="L277" s="410"/>
      <c r="M277" s="348"/>
      <c r="N277" s="348"/>
      <c r="O277" s="348"/>
      <c r="P277" s="348"/>
      <c r="Q277" s="348"/>
      <c r="R277" s="348"/>
      <c r="S277" s="348"/>
      <c r="T277" s="348"/>
      <c r="U277" s="348"/>
      <c r="V277" s="348"/>
      <c r="W277" s="348"/>
      <c r="X277" s="348"/>
      <c r="Y277" s="348"/>
      <c r="Z277" s="348"/>
      <c r="AA277" s="348"/>
      <c r="AB277" s="410"/>
      <c r="AC277" s="410"/>
      <c r="AD277" s="410"/>
      <c r="AE277" s="410"/>
      <c r="AF277" s="410"/>
      <c r="AG277" s="410" t="s">
        <v>473</v>
      </c>
    </row>
    <row r="278" spans="7:35" s="411" customFormat="1" ht="14.25">
      <c r="G278" s="412"/>
      <c r="J278" s="546"/>
      <c r="K278" s="546"/>
      <c r="AG278" s="413"/>
      <c r="AH278" s="414"/>
      <c r="AI278" s="415"/>
    </row>
    <row r="279" spans="2:33" s="348" customFormat="1" ht="14.25">
      <c r="B279" s="410"/>
      <c r="C279" s="410"/>
      <c r="D279" s="410"/>
      <c r="E279" s="410"/>
      <c r="F279" s="410"/>
      <c r="G279" s="349"/>
      <c r="AG279" s="350"/>
    </row>
    <row r="280" spans="2:33" s="348" customFormat="1" ht="14.25">
      <c r="B280" s="410"/>
      <c r="C280" s="410"/>
      <c r="D280" s="410"/>
      <c r="E280" s="410"/>
      <c r="F280" s="410"/>
      <c r="G280" s="349"/>
      <c r="AG280" s="350"/>
    </row>
    <row r="281" spans="2:33" s="348" customFormat="1" ht="14.25">
      <c r="B281" s="410"/>
      <c r="C281" s="410"/>
      <c r="D281" s="410"/>
      <c r="E281" s="410"/>
      <c r="F281" s="410"/>
      <c r="G281" s="349"/>
      <c r="AG281" s="350"/>
    </row>
    <row r="282" spans="2:33" s="348" customFormat="1" ht="14.25">
      <c r="B282" s="410"/>
      <c r="C282" s="410"/>
      <c r="D282" s="410"/>
      <c r="E282" s="410"/>
      <c r="F282" s="410"/>
      <c r="G282" s="349"/>
      <c r="AG282" s="350"/>
    </row>
  </sheetData>
  <sheetProtection/>
  <mergeCells count="27">
    <mergeCell ref="Y18:Y19"/>
    <mergeCell ref="G18:G19"/>
    <mergeCell ref="H18:H19"/>
    <mergeCell ref="B18:F18"/>
    <mergeCell ref="K18:N18"/>
    <mergeCell ref="P18:S18"/>
    <mergeCell ref="O18:O19"/>
    <mergeCell ref="AF18:AF19"/>
    <mergeCell ref="AG18:AG19"/>
    <mergeCell ref="G3:AH3"/>
    <mergeCell ref="G4:AH4"/>
    <mergeCell ref="G5:AH5"/>
    <mergeCell ref="AH12:AI12"/>
    <mergeCell ref="J18:J19"/>
    <mergeCell ref="AH18:AH19"/>
    <mergeCell ref="Z18:Z19"/>
    <mergeCell ref="I18:I19"/>
    <mergeCell ref="AI18:AI19"/>
    <mergeCell ref="B276:G276"/>
    <mergeCell ref="B277:G277"/>
    <mergeCell ref="J278:K278"/>
    <mergeCell ref="AH16:AI16"/>
    <mergeCell ref="AH17:AI17"/>
    <mergeCell ref="T18:T19"/>
    <mergeCell ref="U18:X18"/>
    <mergeCell ref="AA18:AD18"/>
    <mergeCell ref="AE18:AE19"/>
  </mergeCells>
  <printOptions/>
  <pageMargins left="0.984251968503937" right="0" top="0.7086614173228347" bottom="1.0236220472440944" header="0" footer="0.1968503937007874"/>
  <pageSetup horizontalDpi="300" verticalDpi="300" orientation="landscape" paperSize="5" scale="75" r:id="rId1"/>
  <headerFooter alignWithMargins="0"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AM282"/>
  <sheetViews>
    <sheetView zoomScalePageLayoutView="0" workbookViewId="0" topLeftCell="H261">
      <selection activeCell="AG132" sqref="AG132"/>
    </sheetView>
  </sheetViews>
  <sheetFormatPr defaultColWidth="11.421875" defaultRowHeight="12.75"/>
  <cols>
    <col min="1" max="1" width="3.57421875" style="352" customWidth="1"/>
    <col min="2" max="2" width="6.28125" style="352" customWidth="1"/>
    <col min="3" max="3" width="5.57421875" style="352" customWidth="1"/>
    <col min="4" max="4" width="6.421875" style="352" customWidth="1"/>
    <col min="5" max="5" width="6.7109375" style="352" customWidth="1"/>
    <col min="6" max="6" width="5.28125" style="352" customWidth="1"/>
    <col min="7" max="7" width="40.57421875" style="352" customWidth="1"/>
    <col min="8" max="8" width="14.7109375" style="352" customWidth="1"/>
    <col min="9" max="9" width="13.57421875" style="352" customWidth="1"/>
    <col min="10" max="10" width="14.28125" style="352" customWidth="1"/>
    <col min="11" max="13" width="9.8515625" style="352" hidden="1" customWidth="1"/>
    <col min="14" max="14" width="12.00390625" style="352" hidden="1" customWidth="1"/>
    <col min="15" max="15" width="13.7109375" style="352" customWidth="1"/>
    <col min="16" max="19" width="12.00390625" style="352" customWidth="1"/>
    <col min="20" max="20" width="13.7109375" style="352" hidden="1" customWidth="1"/>
    <col min="21" max="24" width="10.8515625" style="352" hidden="1" customWidth="1"/>
    <col min="25" max="25" width="11.57421875" style="352" hidden="1" customWidth="1"/>
    <col min="26" max="26" width="12.57421875" style="352" hidden="1" customWidth="1"/>
    <col min="27" max="28" width="10.8515625" style="352" hidden="1" customWidth="1"/>
    <col min="29" max="29" width="11.7109375" style="352" hidden="1" customWidth="1"/>
    <col min="30" max="30" width="10.8515625" style="352" hidden="1" customWidth="1"/>
    <col min="31" max="31" width="12.57421875" style="352" hidden="1" customWidth="1"/>
    <col min="32" max="32" width="13.140625" style="352" customWidth="1"/>
    <col min="33" max="33" width="14.57421875" style="352" customWidth="1"/>
    <col min="34" max="34" width="12.57421875" style="352" customWidth="1"/>
    <col min="35" max="35" width="14.57421875" style="352" customWidth="1"/>
    <col min="36" max="16384" width="11.421875" style="352" customWidth="1"/>
  </cols>
  <sheetData>
    <row r="1" spans="2:38" s="348" customFormat="1" ht="14.25" hidden="1">
      <c r="B1" s="410"/>
      <c r="C1" s="410"/>
      <c r="D1" s="410"/>
      <c r="E1" s="410"/>
      <c r="F1" s="410"/>
      <c r="G1" s="349"/>
      <c r="AL1" s="350"/>
    </row>
    <row r="2" spans="2:38" s="348" customFormat="1" ht="14.25" hidden="1">
      <c r="B2" s="410"/>
      <c r="C2" s="410"/>
      <c r="D2" s="410"/>
      <c r="E2" s="410"/>
      <c r="F2" s="410"/>
      <c r="G2" s="349"/>
      <c r="AL2" s="350"/>
    </row>
    <row r="3" spans="2:38" s="348" customFormat="1" ht="14.25" hidden="1">
      <c r="B3" s="410"/>
      <c r="C3" s="410"/>
      <c r="D3" s="410"/>
      <c r="E3" s="410"/>
      <c r="F3" s="410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555"/>
      <c r="AD3" s="555"/>
      <c r="AE3" s="555"/>
      <c r="AF3" s="555"/>
      <c r="AG3" s="555"/>
      <c r="AH3" s="555"/>
      <c r="AL3" s="350"/>
    </row>
    <row r="4" spans="2:38" s="348" customFormat="1" ht="14.25" hidden="1">
      <c r="B4" s="410"/>
      <c r="C4" s="410"/>
      <c r="D4" s="410"/>
      <c r="E4" s="410"/>
      <c r="F4" s="410"/>
      <c r="G4" s="556"/>
      <c r="H4" s="556"/>
      <c r="I4" s="556"/>
      <c r="J4" s="556"/>
      <c r="K4" s="556"/>
      <c r="L4" s="556"/>
      <c r="M4" s="556"/>
      <c r="N4" s="556"/>
      <c r="O4" s="556"/>
      <c r="P4" s="556"/>
      <c r="Q4" s="556"/>
      <c r="R4" s="556"/>
      <c r="S4" s="556"/>
      <c r="T4" s="556"/>
      <c r="U4" s="556"/>
      <c r="V4" s="556"/>
      <c r="W4" s="556"/>
      <c r="X4" s="556"/>
      <c r="Y4" s="556"/>
      <c r="Z4" s="556"/>
      <c r="AA4" s="556"/>
      <c r="AB4" s="556"/>
      <c r="AC4" s="556"/>
      <c r="AD4" s="556"/>
      <c r="AE4" s="556"/>
      <c r="AF4" s="556"/>
      <c r="AG4" s="556"/>
      <c r="AH4" s="556"/>
      <c r="AL4" s="350"/>
    </row>
    <row r="5" spans="2:39" s="348" customFormat="1" ht="14.25" hidden="1">
      <c r="B5" s="350"/>
      <c r="C5" s="350"/>
      <c r="D5" s="350"/>
      <c r="E5" s="350"/>
      <c r="F5" s="350"/>
      <c r="G5" s="556"/>
      <c r="H5" s="556"/>
      <c r="I5" s="556"/>
      <c r="J5" s="556"/>
      <c r="K5" s="556"/>
      <c r="L5" s="556"/>
      <c r="M5" s="556"/>
      <c r="N5" s="556"/>
      <c r="O5" s="556"/>
      <c r="P5" s="556"/>
      <c r="Q5" s="556"/>
      <c r="R5" s="556"/>
      <c r="S5" s="556"/>
      <c r="T5" s="556"/>
      <c r="U5" s="556"/>
      <c r="V5" s="556"/>
      <c r="W5" s="556"/>
      <c r="X5" s="556"/>
      <c r="Y5" s="556"/>
      <c r="Z5" s="556"/>
      <c r="AA5" s="556"/>
      <c r="AB5" s="556"/>
      <c r="AC5" s="556"/>
      <c r="AD5" s="556"/>
      <c r="AE5" s="556"/>
      <c r="AF5" s="556"/>
      <c r="AG5" s="556"/>
      <c r="AH5" s="556"/>
      <c r="AI5" s="350"/>
      <c r="AJ5" s="350"/>
      <c r="AK5" s="350"/>
      <c r="AL5" s="350"/>
      <c r="AM5" s="350"/>
    </row>
    <row r="6" spans="2:39" s="348" customFormat="1" ht="6" customHeight="1" hidden="1"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</row>
    <row r="7" spans="2:35" ht="6" customHeight="1" hidden="1"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353"/>
      <c r="X7" s="353"/>
      <c r="Y7" s="353"/>
      <c r="Z7" s="353"/>
      <c r="AA7" s="353"/>
      <c r="AB7" s="353"/>
      <c r="AC7" s="353"/>
      <c r="AD7" s="353"/>
      <c r="AE7" s="353"/>
      <c r="AF7" s="353"/>
      <c r="AG7" s="353"/>
      <c r="AH7" s="353"/>
      <c r="AI7" s="353"/>
    </row>
    <row r="8" spans="2:35" ht="21.75" customHeight="1">
      <c r="B8" s="354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5"/>
      <c r="AE8" s="355"/>
      <c r="AF8" s="355"/>
      <c r="AG8" s="355"/>
      <c r="AH8" s="355"/>
      <c r="AI8" s="356"/>
    </row>
    <row r="9" spans="2:35" s="250" customFormat="1" ht="24.75">
      <c r="B9" s="254" t="s">
        <v>286</v>
      </c>
      <c r="C9" s="255"/>
      <c r="D9" s="255"/>
      <c r="E9" s="255"/>
      <c r="F9" s="255"/>
      <c r="G9" s="255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2"/>
      <c r="W9" s="253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4"/>
      <c r="AI9" s="485"/>
    </row>
    <row r="10" spans="2:35" s="99" customFormat="1" ht="17.25">
      <c r="B10" s="166" t="s">
        <v>567</v>
      </c>
      <c r="C10" s="167"/>
      <c r="D10" s="167"/>
      <c r="E10" s="167"/>
      <c r="F10" s="167"/>
      <c r="G10" s="167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7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7"/>
    </row>
    <row r="11" spans="2:35" ht="14.25">
      <c r="B11" s="364" t="s">
        <v>241</v>
      </c>
      <c r="C11" s="365"/>
      <c r="D11" s="365"/>
      <c r="E11" s="365"/>
      <c r="F11" s="366" t="s">
        <v>224</v>
      </c>
      <c r="G11" s="367">
        <v>30</v>
      </c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2"/>
      <c r="AG11" s="362"/>
      <c r="AH11" s="362"/>
      <c r="AI11" s="363"/>
    </row>
    <row r="12" spans="2:35" ht="14.25">
      <c r="B12" s="364" t="s">
        <v>225</v>
      </c>
      <c r="C12" s="365"/>
      <c r="D12" s="365"/>
      <c r="E12" s="365"/>
      <c r="F12" s="366" t="s">
        <v>224</v>
      </c>
      <c r="G12" s="365" t="str">
        <f>'[1]FONACIDE'!G12</f>
        <v>235 MUNICIPALIDAD DE CARMELO PERALTA</v>
      </c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62"/>
      <c r="AG12" s="362"/>
      <c r="AH12" s="557"/>
      <c r="AI12" s="558"/>
    </row>
    <row r="13" spans="2:35" ht="14.25">
      <c r="B13" s="364" t="s">
        <v>226</v>
      </c>
      <c r="C13" s="365"/>
      <c r="D13" s="365"/>
      <c r="E13" s="365"/>
      <c r="F13" s="366" t="s">
        <v>224</v>
      </c>
      <c r="G13" s="368" t="s">
        <v>302</v>
      </c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C13" s="362"/>
      <c r="AD13" s="362"/>
      <c r="AE13" s="362"/>
      <c r="AF13" s="362"/>
      <c r="AG13" s="362"/>
      <c r="AH13" s="476"/>
      <c r="AI13" s="477"/>
    </row>
    <row r="14" spans="2:35" ht="14.25">
      <c r="B14" s="364" t="s">
        <v>227</v>
      </c>
      <c r="C14" s="365"/>
      <c r="D14" s="365"/>
      <c r="E14" s="365"/>
      <c r="F14" s="366" t="s">
        <v>224</v>
      </c>
      <c r="G14" s="368" t="s">
        <v>305</v>
      </c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476"/>
      <c r="AI14" s="477"/>
    </row>
    <row r="15" spans="2:35" ht="14.25">
      <c r="B15" s="364" t="s">
        <v>228</v>
      </c>
      <c r="C15" s="365"/>
      <c r="D15" s="365"/>
      <c r="E15" s="365"/>
      <c r="F15" s="366" t="s">
        <v>224</v>
      </c>
      <c r="G15" s="368" t="s">
        <v>303</v>
      </c>
      <c r="H15" s="371"/>
      <c r="I15" s="371"/>
      <c r="J15" s="371" t="s">
        <v>547</v>
      </c>
      <c r="K15" s="371"/>
      <c r="L15" s="371"/>
      <c r="M15" s="371"/>
      <c r="N15" s="371"/>
      <c r="O15" s="371"/>
      <c r="P15" s="371"/>
      <c r="Q15" s="371"/>
      <c r="R15" s="371"/>
      <c r="S15" s="371"/>
      <c r="T15" s="371"/>
      <c r="U15" s="371"/>
      <c r="V15" s="371"/>
      <c r="W15" s="371"/>
      <c r="X15" s="371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2"/>
    </row>
    <row r="16" spans="2:35" ht="14.25">
      <c r="B16" s="364" t="s">
        <v>229</v>
      </c>
      <c r="C16" s="365"/>
      <c r="D16" s="365"/>
      <c r="E16" s="365"/>
      <c r="F16" s="366" t="s">
        <v>224</v>
      </c>
      <c r="G16" s="362" t="s">
        <v>304</v>
      </c>
      <c r="H16" s="373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2"/>
      <c r="W16" s="362"/>
      <c r="X16" s="362"/>
      <c r="Y16" s="362"/>
      <c r="Z16" s="362"/>
      <c r="AA16" s="362"/>
      <c r="AB16" s="362"/>
      <c r="AC16" s="362"/>
      <c r="AD16" s="362"/>
      <c r="AE16" s="362"/>
      <c r="AF16" s="362"/>
      <c r="AG16" s="362"/>
      <c r="AH16" s="547" t="s">
        <v>287</v>
      </c>
      <c r="AI16" s="548"/>
    </row>
    <row r="17" spans="2:35" s="374" customFormat="1" ht="14.25">
      <c r="B17" s="375"/>
      <c r="C17" s="376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  <c r="Z17" s="376"/>
      <c r="AA17" s="376"/>
      <c r="AB17" s="376"/>
      <c r="AC17" s="376"/>
      <c r="AD17" s="376"/>
      <c r="AE17" s="376"/>
      <c r="AF17" s="376"/>
      <c r="AG17" s="376"/>
      <c r="AH17" s="549"/>
      <c r="AI17" s="550"/>
    </row>
    <row r="18" spans="2:35" s="350" customFormat="1" ht="15" customHeight="1">
      <c r="B18" s="561" t="s">
        <v>11</v>
      </c>
      <c r="C18" s="562"/>
      <c r="D18" s="562"/>
      <c r="E18" s="562"/>
      <c r="F18" s="563"/>
      <c r="G18" s="559" t="s">
        <v>12</v>
      </c>
      <c r="H18" s="542" t="s">
        <v>230</v>
      </c>
      <c r="I18" s="542" t="s">
        <v>280</v>
      </c>
      <c r="J18" s="542" t="s">
        <v>223</v>
      </c>
      <c r="K18" s="551" t="s">
        <v>322</v>
      </c>
      <c r="L18" s="552"/>
      <c r="M18" s="552"/>
      <c r="N18" s="552"/>
      <c r="O18" s="542" t="s">
        <v>565</v>
      </c>
      <c r="P18" s="551" t="s">
        <v>322</v>
      </c>
      <c r="Q18" s="552"/>
      <c r="R18" s="552"/>
      <c r="S18" s="552"/>
      <c r="T18" s="542" t="s">
        <v>548</v>
      </c>
      <c r="U18" s="551" t="s">
        <v>322</v>
      </c>
      <c r="V18" s="552"/>
      <c r="W18" s="552"/>
      <c r="X18" s="552"/>
      <c r="Y18" s="542" t="s">
        <v>549</v>
      </c>
      <c r="Z18" s="542" t="s">
        <v>550</v>
      </c>
      <c r="AA18" s="551" t="s">
        <v>322</v>
      </c>
      <c r="AB18" s="552"/>
      <c r="AC18" s="552"/>
      <c r="AD18" s="552"/>
      <c r="AE18" s="542" t="s">
        <v>549</v>
      </c>
      <c r="AF18" s="542" t="s">
        <v>244</v>
      </c>
      <c r="AG18" s="553" t="s">
        <v>231</v>
      </c>
      <c r="AH18" s="542" t="s">
        <v>245</v>
      </c>
      <c r="AI18" s="542" t="s">
        <v>246</v>
      </c>
    </row>
    <row r="19" spans="2:35" ht="45" customHeight="1">
      <c r="B19" s="377" t="s">
        <v>14</v>
      </c>
      <c r="C19" s="377" t="s">
        <v>296</v>
      </c>
      <c r="D19" s="377" t="s">
        <v>232</v>
      </c>
      <c r="E19" s="377" t="s">
        <v>15</v>
      </c>
      <c r="F19" s="377" t="s">
        <v>16</v>
      </c>
      <c r="G19" s="560"/>
      <c r="H19" s="543"/>
      <c r="I19" s="543"/>
      <c r="J19" s="543"/>
      <c r="K19" s="378" t="s">
        <v>551</v>
      </c>
      <c r="L19" s="378" t="s">
        <v>552</v>
      </c>
      <c r="M19" s="378" t="s">
        <v>553</v>
      </c>
      <c r="N19" s="379" t="s">
        <v>554</v>
      </c>
      <c r="O19" s="543"/>
      <c r="P19" s="379" t="s">
        <v>555</v>
      </c>
      <c r="Q19" s="378" t="s">
        <v>556</v>
      </c>
      <c r="R19" s="379" t="s">
        <v>559</v>
      </c>
      <c r="S19" s="379" t="s">
        <v>560</v>
      </c>
      <c r="T19" s="543"/>
      <c r="U19" s="380">
        <v>41030</v>
      </c>
      <c r="V19" s="380">
        <v>41061</v>
      </c>
      <c r="W19" s="380">
        <v>41091</v>
      </c>
      <c r="X19" s="380">
        <v>41122</v>
      </c>
      <c r="Y19" s="543"/>
      <c r="Z19" s="543"/>
      <c r="AA19" s="380">
        <v>41153</v>
      </c>
      <c r="AB19" s="380">
        <v>41183</v>
      </c>
      <c r="AC19" s="380">
        <v>41214</v>
      </c>
      <c r="AD19" s="380">
        <v>41244</v>
      </c>
      <c r="AE19" s="543"/>
      <c r="AF19" s="543"/>
      <c r="AG19" s="554"/>
      <c r="AH19" s="543"/>
      <c r="AI19" s="543"/>
    </row>
    <row r="20" spans="2:35" ht="14.25">
      <c r="B20" s="381"/>
      <c r="C20" s="381"/>
      <c r="D20" s="381"/>
      <c r="E20" s="381"/>
      <c r="F20" s="381"/>
      <c r="G20" s="381" t="s">
        <v>17</v>
      </c>
      <c r="H20" s="382">
        <f>H21+H204+H58</f>
        <v>1453110226</v>
      </c>
      <c r="I20" s="382">
        <f aca="true" t="shared" si="0" ref="I20:AI20">I21+I204+I58</f>
        <v>-143884977</v>
      </c>
      <c r="J20" s="382">
        <f t="shared" si="0"/>
        <v>1309225249</v>
      </c>
      <c r="K20" s="382">
        <f t="shared" si="0"/>
        <v>0</v>
      </c>
      <c r="L20" s="382">
        <f t="shared" si="0"/>
        <v>4603333</v>
      </c>
      <c r="M20" s="382">
        <f t="shared" si="0"/>
        <v>6500000</v>
      </c>
      <c r="N20" s="382">
        <f t="shared" si="0"/>
        <v>156316000</v>
      </c>
      <c r="O20" s="382">
        <f t="shared" si="0"/>
        <v>167419333</v>
      </c>
      <c r="P20" s="382">
        <f t="shared" si="0"/>
        <v>124800000</v>
      </c>
      <c r="Q20" s="382">
        <f t="shared" si="0"/>
        <v>50000000</v>
      </c>
      <c r="R20" s="382">
        <f t="shared" si="0"/>
        <v>19800000</v>
      </c>
      <c r="S20" s="382">
        <f t="shared" si="0"/>
        <v>39900000</v>
      </c>
      <c r="T20" s="382">
        <f t="shared" si="0"/>
        <v>419638666</v>
      </c>
      <c r="U20" s="382">
        <f t="shared" si="0"/>
        <v>0</v>
      </c>
      <c r="V20" s="382">
        <f t="shared" si="0"/>
        <v>0</v>
      </c>
      <c r="W20" s="382">
        <f t="shared" si="0"/>
        <v>0</v>
      </c>
      <c r="X20" s="382">
        <f t="shared" si="0"/>
        <v>0</v>
      </c>
      <c r="Y20" s="382">
        <f t="shared" si="0"/>
        <v>0</v>
      </c>
      <c r="Z20" s="382">
        <f t="shared" si="0"/>
        <v>419638666</v>
      </c>
      <c r="AA20" s="382">
        <f t="shared" si="0"/>
        <v>0</v>
      </c>
      <c r="AB20" s="382">
        <f t="shared" si="0"/>
        <v>0</v>
      </c>
      <c r="AC20" s="382">
        <f t="shared" si="0"/>
        <v>0</v>
      </c>
      <c r="AD20" s="382">
        <f t="shared" si="0"/>
        <v>0</v>
      </c>
      <c r="AE20" s="382">
        <f t="shared" si="0"/>
        <v>0</v>
      </c>
      <c r="AF20" s="382">
        <f t="shared" si="0"/>
        <v>401919333</v>
      </c>
      <c r="AG20" s="382">
        <f t="shared" si="0"/>
        <v>907305916</v>
      </c>
      <c r="AH20" s="382">
        <f t="shared" si="0"/>
        <v>401919333</v>
      </c>
      <c r="AI20" s="382">
        <f t="shared" si="0"/>
        <v>0</v>
      </c>
    </row>
    <row r="21" spans="2:36" ht="14.25">
      <c r="B21" s="381"/>
      <c r="C21" s="381"/>
      <c r="D21" s="381"/>
      <c r="E21" s="381"/>
      <c r="F21" s="381"/>
      <c r="G21" s="383" t="s">
        <v>18</v>
      </c>
      <c r="H21" s="382">
        <f>H22+H58+H101+H143+H138+H189</f>
        <v>309444906</v>
      </c>
      <c r="I21" s="382">
        <f aca="true" t="shared" si="1" ref="I21:S21">I22+I58+I101+I143+I138+I189</f>
        <v>-55599856</v>
      </c>
      <c r="J21" s="382">
        <f t="shared" si="1"/>
        <v>253845050</v>
      </c>
      <c r="K21" s="382">
        <f t="shared" si="1"/>
        <v>0</v>
      </c>
      <c r="L21" s="382">
        <f t="shared" si="1"/>
        <v>4603333</v>
      </c>
      <c r="M21" s="382">
        <f t="shared" si="1"/>
        <v>6500000</v>
      </c>
      <c r="N21" s="382">
        <f t="shared" si="1"/>
        <v>19316000</v>
      </c>
      <c r="O21" s="382">
        <f t="shared" si="1"/>
        <v>30419333</v>
      </c>
      <c r="P21" s="382">
        <f>P22+P58+P101+P143+P138+P189</f>
        <v>84800000</v>
      </c>
      <c r="Q21" s="382">
        <f t="shared" si="1"/>
        <v>50000000</v>
      </c>
      <c r="R21" s="382">
        <f t="shared" si="1"/>
        <v>19800000</v>
      </c>
      <c r="S21" s="382">
        <f t="shared" si="1"/>
        <v>39900000</v>
      </c>
      <c r="T21" s="382">
        <f>SUM(K21:P21)</f>
        <v>145638666</v>
      </c>
      <c r="U21" s="382">
        <f>U22+U58+U101+U143+U138+U189</f>
        <v>0</v>
      </c>
      <c r="V21" s="382">
        <f>V22+V58+V101+V143+V138+V189</f>
        <v>0</v>
      </c>
      <c r="W21" s="382">
        <f>W22+W58+W101+W143+W138+W189</f>
        <v>0</v>
      </c>
      <c r="X21" s="382">
        <f>X22+X58+X101+X143+X138+X189</f>
        <v>0</v>
      </c>
      <c r="Y21" s="382">
        <f>SUM(U21:X21)</f>
        <v>0</v>
      </c>
      <c r="Z21" s="382">
        <f aca="true" t="shared" si="2" ref="Z21:Z84">T21+Y21</f>
        <v>145638666</v>
      </c>
      <c r="AA21" s="382">
        <f>AA22+AA58+AA101+AA143+AA138+AA189</f>
        <v>0</v>
      </c>
      <c r="AB21" s="382">
        <f>AB22+AB58+AB101+AB143+AB138+AB189</f>
        <v>0</v>
      </c>
      <c r="AC21" s="382">
        <f>AC22+AC58+AC101+AC143+AC138+AC189</f>
        <v>0</v>
      </c>
      <c r="AD21" s="382">
        <f>AD22+AD58+AD101+AD143+AD138+AD189</f>
        <v>0</v>
      </c>
      <c r="AE21" s="382">
        <f>SUM(AA21:AD21)</f>
        <v>0</v>
      </c>
      <c r="AF21" s="382">
        <f>AF22+AF58+AF101+AF143+AF138+AF189</f>
        <v>224919333</v>
      </c>
      <c r="AG21" s="382">
        <f>AG22+AG58+AG101+AG143+AG138+AG189</f>
        <v>28925717</v>
      </c>
      <c r="AH21" s="382">
        <f>AH22+AH58+AH101+AH143+AH138+AH189</f>
        <v>224919333</v>
      </c>
      <c r="AI21" s="382">
        <f>AI22+AI58+AI101+AI143+AI138+AI189</f>
        <v>0</v>
      </c>
      <c r="AJ21" s="384"/>
    </row>
    <row r="22" spans="2:35" ht="14.25">
      <c r="B22" s="381">
        <f>'[1]GASTOS MATRIZ'!A19</f>
        <v>100</v>
      </c>
      <c r="C22" s="381"/>
      <c r="D22" s="381"/>
      <c r="E22" s="381"/>
      <c r="F22" s="381"/>
      <c r="G22" s="385" t="str">
        <f>'[1]GASTOS MATRIZ'!F19</f>
        <v>SERVICIOS PERSONALES</v>
      </c>
      <c r="H22" s="382">
        <f>H23+H29+H33+H41+H54</f>
        <v>177390000</v>
      </c>
      <c r="I22" s="382">
        <f aca="true" t="shared" si="3" ref="I22:S22">I23+I29+I33+I41+I54</f>
        <v>-27390000</v>
      </c>
      <c r="J22" s="382">
        <f t="shared" si="3"/>
        <v>150000000</v>
      </c>
      <c r="K22" s="382">
        <f t="shared" si="3"/>
        <v>0</v>
      </c>
      <c r="L22" s="382">
        <f t="shared" si="3"/>
        <v>4603333</v>
      </c>
      <c r="M22" s="382">
        <f t="shared" si="3"/>
        <v>6500000</v>
      </c>
      <c r="N22" s="382">
        <f t="shared" si="3"/>
        <v>19316000</v>
      </c>
      <c r="O22" s="382">
        <f t="shared" si="3"/>
        <v>30419333</v>
      </c>
      <c r="P22" s="382">
        <f t="shared" si="3"/>
        <v>44800000</v>
      </c>
      <c r="Q22" s="382">
        <f t="shared" si="3"/>
        <v>25000000</v>
      </c>
      <c r="R22" s="382">
        <f t="shared" si="3"/>
        <v>19800000</v>
      </c>
      <c r="S22" s="382">
        <f t="shared" si="3"/>
        <v>9900000</v>
      </c>
      <c r="T22" s="382">
        <f>SUM(K22:P22)</f>
        <v>105638666</v>
      </c>
      <c r="U22" s="382">
        <f>U23+U29+U33+U41+U54</f>
        <v>0</v>
      </c>
      <c r="V22" s="382">
        <f>V23+V29+V33+V41+V54</f>
        <v>0</v>
      </c>
      <c r="W22" s="382">
        <f>W23+W29+W33+W41+W54</f>
        <v>0</v>
      </c>
      <c r="X22" s="382">
        <f>X23+X29+X33+X41+X54</f>
        <v>0</v>
      </c>
      <c r="Y22" s="382">
        <f>SUM(U22:X22)</f>
        <v>0</v>
      </c>
      <c r="Z22" s="382">
        <f t="shared" si="2"/>
        <v>105638666</v>
      </c>
      <c r="AA22" s="382">
        <f>AA23+AA29+AA33+AA41+AA54</f>
        <v>0</v>
      </c>
      <c r="AB22" s="382">
        <f>AB23+AB29+AB33+AB41+AB54</f>
        <v>0</v>
      </c>
      <c r="AC22" s="382">
        <f>AC23+AC29+AC33+AC41+AC54</f>
        <v>0</v>
      </c>
      <c r="AD22" s="382">
        <f>AD23+AD29+AD33+AD41+AD54</f>
        <v>0</v>
      </c>
      <c r="AE22" s="382">
        <f>SUM(AA22:AD22)</f>
        <v>0</v>
      </c>
      <c r="AF22" s="382">
        <f>AF23+AF29+AF33+AF41+AF54</f>
        <v>129919333</v>
      </c>
      <c r="AG22" s="382">
        <f>AG23+AG29+AG33+AG41+AG54</f>
        <v>20080667</v>
      </c>
      <c r="AH22" s="382">
        <f>AH23+AH29+AH33+AH41+AH54</f>
        <v>129919333</v>
      </c>
      <c r="AI22" s="382">
        <f>AI23+AI29+AI33+AI41+AI54</f>
        <v>0</v>
      </c>
    </row>
    <row r="23" spans="2:35" ht="15" customHeight="1" hidden="1">
      <c r="B23" s="381"/>
      <c r="C23" s="381">
        <f>'[1]GASTOS MATRIZ'!B20</f>
        <v>110</v>
      </c>
      <c r="D23" s="381"/>
      <c r="E23" s="381"/>
      <c r="F23" s="381"/>
      <c r="G23" s="385" t="str">
        <f>'[1]GASTOS MATRIZ'!F20</f>
        <v>Remuneraciones Básicas</v>
      </c>
      <c r="H23" s="382">
        <f>SUM(H24:H27)</f>
        <v>0</v>
      </c>
      <c r="I23" s="382">
        <f aca="true" t="shared" si="4" ref="I23:S23">SUM(I24:I27)</f>
        <v>0</v>
      </c>
      <c r="J23" s="382">
        <f t="shared" si="4"/>
        <v>0</v>
      </c>
      <c r="K23" s="382">
        <f t="shared" si="4"/>
        <v>0</v>
      </c>
      <c r="L23" s="382">
        <f t="shared" si="4"/>
        <v>0</v>
      </c>
      <c r="M23" s="382">
        <f t="shared" si="4"/>
        <v>0</v>
      </c>
      <c r="N23" s="382">
        <f t="shared" si="4"/>
        <v>0</v>
      </c>
      <c r="O23" s="382">
        <f t="shared" si="4"/>
        <v>0</v>
      </c>
      <c r="P23" s="382">
        <f t="shared" si="4"/>
        <v>0</v>
      </c>
      <c r="Q23" s="382">
        <f t="shared" si="4"/>
        <v>0</v>
      </c>
      <c r="R23" s="382">
        <f t="shared" si="4"/>
        <v>0</v>
      </c>
      <c r="S23" s="382">
        <f t="shared" si="4"/>
        <v>0</v>
      </c>
      <c r="T23" s="382">
        <f>SUM(K23:P23)</f>
        <v>0</v>
      </c>
      <c r="U23" s="382">
        <f>SUM(U24:U27)</f>
        <v>0</v>
      </c>
      <c r="V23" s="382">
        <f>SUM(V24:V27)</f>
        <v>0</v>
      </c>
      <c r="W23" s="382">
        <f>SUM(W24:W27)</f>
        <v>0</v>
      </c>
      <c r="X23" s="382">
        <f>SUM(X24:X27)</f>
        <v>0</v>
      </c>
      <c r="Y23" s="382">
        <f>SUM(U23:X23)</f>
        <v>0</v>
      </c>
      <c r="Z23" s="382">
        <f t="shared" si="2"/>
        <v>0</v>
      </c>
      <c r="AA23" s="382">
        <f>SUM(AA24:AA27)</f>
        <v>0</v>
      </c>
      <c r="AB23" s="382">
        <f>SUM(AB24:AB27)</f>
        <v>0</v>
      </c>
      <c r="AC23" s="382">
        <f>SUM(AC24:AC27)</f>
        <v>0</v>
      </c>
      <c r="AD23" s="382">
        <f>SUM(AD24:AD27)</f>
        <v>0</v>
      </c>
      <c r="AE23" s="382">
        <f>SUM(AA23:AD23)</f>
        <v>0</v>
      </c>
      <c r="AF23" s="382">
        <f>SUM(AF24:AF27)</f>
        <v>0</v>
      </c>
      <c r="AG23" s="382">
        <f>SUM(AG24:AG27)</f>
        <v>0</v>
      </c>
      <c r="AH23" s="382">
        <f>SUM(AH24:AH27)</f>
        <v>0</v>
      </c>
      <c r="AI23" s="382">
        <f>SUM(AI24:AI27)</f>
        <v>0</v>
      </c>
    </row>
    <row r="24" spans="2:35" ht="15" customHeight="1" hidden="1">
      <c r="B24" s="386"/>
      <c r="C24" s="386"/>
      <c r="D24" s="386"/>
      <c r="E24" s="387"/>
      <c r="F24" s="387"/>
      <c r="G24" s="388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89"/>
      <c r="Y24" s="389"/>
      <c r="Z24" s="389">
        <f t="shared" si="2"/>
        <v>0</v>
      </c>
      <c r="AA24" s="389"/>
      <c r="AB24" s="389"/>
      <c r="AC24" s="389"/>
      <c r="AD24" s="389"/>
      <c r="AE24" s="389"/>
      <c r="AF24" s="389"/>
      <c r="AG24" s="389"/>
      <c r="AH24" s="389"/>
      <c r="AI24" s="389"/>
    </row>
    <row r="25" spans="2:35" ht="15" customHeight="1" hidden="1">
      <c r="B25" s="386"/>
      <c r="C25" s="386"/>
      <c r="D25" s="386"/>
      <c r="E25" s="387"/>
      <c r="F25" s="387"/>
      <c r="G25" s="388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  <c r="Y25" s="389"/>
      <c r="Z25" s="389">
        <f t="shared" si="2"/>
        <v>0</v>
      </c>
      <c r="AA25" s="389"/>
      <c r="AB25" s="389"/>
      <c r="AC25" s="389"/>
      <c r="AD25" s="389"/>
      <c r="AE25" s="389"/>
      <c r="AF25" s="389"/>
      <c r="AG25" s="389"/>
      <c r="AH25" s="389"/>
      <c r="AI25" s="389"/>
    </row>
    <row r="26" spans="2:35" ht="15" customHeight="1" hidden="1">
      <c r="B26" s="386"/>
      <c r="C26" s="386"/>
      <c r="D26" s="386"/>
      <c r="E26" s="387"/>
      <c r="F26" s="387"/>
      <c r="G26" s="388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  <c r="T26" s="389"/>
      <c r="U26" s="389"/>
      <c r="V26" s="389"/>
      <c r="W26" s="389"/>
      <c r="X26" s="389"/>
      <c r="Y26" s="389"/>
      <c r="Z26" s="389">
        <f t="shared" si="2"/>
        <v>0</v>
      </c>
      <c r="AA26" s="389"/>
      <c r="AB26" s="389"/>
      <c r="AC26" s="389"/>
      <c r="AD26" s="389"/>
      <c r="AE26" s="389"/>
      <c r="AF26" s="389"/>
      <c r="AG26" s="389"/>
      <c r="AH26" s="389"/>
      <c r="AI26" s="389"/>
    </row>
    <row r="27" spans="2:35" ht="15" customHeight="1" hidden="1">
      <c r="B27" s="386"/>
      <c r="C27" s="386"/>
      <c r="D27" s="386"/>
      <c r="E27" s="387"/>
      <c r="F27" s="387"/>
      <c r="G27" s="388"/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89"/>
      <c r="S27" s="389"/>
      <c r="T27" s="389"/>
      <c r="U27" s="389"/>
      <c r="V27" s="389"/>
      <c r="W27" s="389"/>
      <c r="X27" s="389"/>
      <c r="Y27" s="389"/>
      <c r="Z27" s="389">
        <f t="shared" si="2"/>
        <v>0</v>
      </c>
      <c r="AA27" s="389"/>
      <c r="AB27" s="389"/>
      <c r="AC27" s="389"/>
      <c r="AD27" s="389"/>
      <c r="AE27" s="389"/>
      <c r="AF27" s="389"/>
      <c r="AG27" s="389"/>
      <c r="AH27" s="389"/>
      <c r="AI27" s="389"/>
    </row>
    <row r="28" spans="2:35" ht="15" customHeight="1" hidden="1">
      <c r="B28" s="386"/>
      <c r="C28" s="386"/>
      <c r="D28" s="386"/>
      <c r="E28" s="387"/>
      <c r="F28" s="387"/>
      <c r="G28" s="388"/>
      <c r="H28" s="389"/>
      <c r="I28" s="389"/>
      <c r="J28" s="389"/>
      <c r="K28" s="389"/>
      <c r="L28" s="389"/>
      <c r="M28" s="389"/>
      <c r="N28" s="389"/>
      <c r="O28" s="389"/>
      <c r="P28" s="389"/>
      <c r="Q28" s="389"/>
      <c r="R28" s="389"/>
      <c r="S28" s="389"/>
      <c r="T28" s="389"/>
      <c r="U28" s="389"/>
      <c r="V28" s="389"/>
      <c r="W28" s="389"/>
      <c r="X28" s="389"/>
      <c r="Y28" s="389"/>
      <c r="Z28" s="389">
        <f t="shared" si="2"/>
        <v>0</v>
      </c>
      <c r="AA28" s="389"/>
      <c r="AB28" s="389"/>
      <c r="AC28" s="389"/>
      <c r="AD28" s="389"/>
      <c r="AE28" s="389"/>
      <c r="AF28" s="389"/>
      <c r="AG28" s="389"/>
      <c r="AH28" s="389"/>
      <c r="AI28" s="389"/>
    </row>
    <row r="29" spans="2:35" ht="15" customHeight="1" hidden="1">
      <c r="B29" s="381"/>
      <c r="C29" s="381">
        <f>'[1]GASTOS MATRIZ'!B26</f>
        <v>120</v>
      </c>
      <c r="D29" s="381"/>
      <c r="E29" s="381"/>
      <c r="F29" s="381"/>
      <c r="G29" s="385" t="str">
        <f>'[1]GASTOS MATRIZ'!F26</f>
        <v>Remuneraciones Temporales</v>
      </c>
      <c r="H29" s="382">
        <f>SUM(H30:H32)</f>
        <v>0</v>
      </c>
      <c r="I29" s="382">
        <f aca="true" t="shared" si="5" ref="I29:S29">SUM(I30:I32)</f>
        <v>0</v>
      </c>
      <c r="J29" s="382">
        <f t="shared" si="5"/>
        <v>0</v>
      </c>
      <c r="K29" s="382">
        <f t="shared" si="5"/>
        <v>0</v>
      </c>
      <c r="L29" s="382">
        <f t="shared" si="5"/>
        <v>0</v>
      </c>
      <c r="M29" s="382">
        <f t="shared" si="5"/>
        <v>0</v>
      </c>
      <c r="N29" s="382">
        <f t="shared" si="5"/>
        <v>0</v>
      </c>
      <c r="O29" s="382">
        <f t="shared" si="5"/>
        <v>0</v>
      </c>
      <c r="P29" s="382">
        <f t="shared" si="5"/>
        <v>0</v>
      </c>
      <c r="Q29" s="382">
        <f t="shared" si="5"/>
        <v>0</v>
      </c>
      <c r="R29" s="382">
        <f t="shared" si="5"/>
        <v>0</v>
      </c>
      <c r="S29" s="382">
        <f t="shared" si="5"/>
        <v>0</v>
      </c>
      <c r="T29" s="382">
        <f>SUM(K29:P29)</f>
        <v>0</v>
      </c>
      <c r="U29" s="382">
        <f>SUM(U30:U32)</f>
        <v>0</v>
      </c>
      <c r="V29" s="382">
        <f>SUM(V30:V32)</f>
        <v>0</v>
      </c>
      <c r="W29" s="382">
        <f>SUM(W30:W32)</f>
        <v>0</v>
      </c>
      <c r="X29" s="382">
        <f>SUM(X30:X32)</f>
        <v>0</v>
      </c>
      <c r="Y29" s="382">
        <f>SUM(U29:X29)</f>
        <v>0</v>
      </c>
      <c r="Z29" s="382">
        <f t="shared" si="2"/>
        <v>0</v>
      </c>
      <c r="AA29" s="382">
        <f>SUM(AA30:AA32)</f>
        <v>0</v>
      </c>
      <c r="AB29" s="382">
        <f>SUM(AB30:AB32)</f>
        <v>0</v>
      </c>
      <c r="AC29" s="382">
        <f>SUM(AC30:AC32)</f>
        <v>0</v>
      </c>
      <c r="AD29" s="382">
        <f>SUM(AD30:AD32)</f>
        <v>0</v>
      </c>
      <c r="AE29" s="382">
        <f>SUM(AA29:AD29)</f>
        <v>0</v>
      </c>
      <c r="AF29" s="382">
        <f>SUM(AF30:AF32)</f>
        <v>0</v>
      </c>
      <c r="AG29" s="382">
        <f>SUM(AG30:AG32)</f>
        <v>0</v>
      </c>
      <c r="AH29" s="382">
        <f>SUM(AH30:AH32)</f>
        <v>0</v>
      </c>
      <c r="AI29" s="382">
        <f>SUM(AI30:AI32)</f>
        <v>0</v>
      </c>
    </row>
    <row r="30" spans="2:35" ht="15" customHeight="1" hidden="1">
      <c r="B30" s="386"/>
      <c r="C30" s="386"/>
      <c r="D30" s="386"/>
      <c r="E30" s="387"/>
      <c r="F30" s="387"/>
      <c r="G30" s="388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  <c r="T30" s="389"/>
      <c r="U30" s="389"/>
      <c r="V30" s="389"/>
      <c r="W30" s="389"/>
      <c r="X30" s="389"/>
      <c r="Y30" s="389"/>
      <c r="Z30" s="389">
        <f t="shared" si="2"/>
        <v>0</v>
      </c>
      <c r="AA30" s="389"/>
      <c r="AB30" s="389"/>
      <c r="AC30" s="389"/>
      <c r="AD30" s="389"/>
      <c r="AE30" s="389"/>
      <c r="AF30" s="389"/>
      <c r="AG30" s="389"/>
      <c r="AH30" s="389"/>
      <c r="AI30" s="389"/>
    </row>
    <row r="31" spans="2:35" ht="15" customHeight="1" hidden="1">
      <c r="B31" s="386"/>
      <c r="C31" s="386"/>
      <c r="D31" s="386"/>
      <c r="E31" s="387"/>
      <c r="F31" s="387"/>
      <c r="G31" s="388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  <c r="T31" s="389"/>
      <c r="U31" s="389"/>
      <c r="V31" s="389"/>
      <c r="W31" s="389"/>
      <c r="X31" s="389"/>
      <c r="Y31" s="389"/>
      <c r="Z31" s="389">
        <f t="shared" si="2"/>
        <v>0</v>
      </c>
      <c r="AA31" s="389"/>
      <c r="AB31" s="389"/>
      <c r="AC31" s="389"/>
      <c r="AD31" s="389"/>
      <c r="AE31" s="389"/>
      <c r="AF31" s="389"/>
      <c r="AG31" s="389"/>
      <c r="AH31" s="389"/>
      <c r="AI31" s="389"/>
    </row>
    <row r="32" spans="2:35" ht="15" customHeight="1" hidden="1">
      <c r="B32" s="386"/>
      <c r="C32" s="386"/>
      <c r="D32" s="386"/>
      <c r="E32" s="387"/>
      <c r="F32" s="387"/>
      <c r="G32" s="388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  <c r="T32" s="389"/>
      <c r="U32" s="389"/>
      <c r="V32" s="389"/>
      <c r="W32" s="389"/>
      <c r="X32" s="389"/>
      <c r="Y32" s="389"/>
      <c r="Z32" s="389">
        <f t="shared" si="2"/>
        <v>0</v>
      </c>
      <c r="AA32" s="389"/>
      <c r="AB32" s="389"/>
      <c r="AC32" s="389"/>
      <c r="AD32" s="389"/>
      <c r="AE32" s="389"/>
      <c r="AF32" s="389"/>
      <c r="AG32" s="389"/>
      <c r="AH32" s="389"/>
      <c r="AI32" s="389"/>
    </row>
    <row r="33" spans="2:35" ht="15" customHeight="1" hidden="1">
      <c r="B33" s="381"/>
      <c r="C33" s="381">
        <f>'[1]GASTOS MATRIZ'!B30</f>
        <v>130</v>
      </c>
      <c r="D33" s="381"/>
      <c r="E33" s="390"/>
      <c r="F33" s="390"/>
      <c r="G33" s="385" t="str">
        <f>'[1]GASTOS MATRIZ'!F30</f>
        <v>Asignaciones Complementarias</v>
      </c>
      <c r="H33" s="382">
        <f>SUM(H34:H39)</f>
        <v>0</v>
      </c>
      <c r="I33" s="382">
        <f aca="true" t="shared" si="6" ref="I33:S33">SUM(I34:I39)</f>
        <v>0</v>
      </c>
      <c r="J33" s="382">
        <f t="shared" si="6"/>
        <v>0</v>
      </c>
      <c r="K33" s="382">
        <f t="shared" si="6"/>
        <v>0</v>
      </c>
      <c r="L33" s="382">
        <f t="shared" si="6"/>
        <v>0</v>
      </c>
      <c r="M33" s="382">
        <f t="shared" si="6"/>
        <v>0</v>
      </c>
      <c r="N33" s="382">
        <f t="shared" si="6"/>
        <v>0</v>
      </c>
      <c r="O33" s="382">
        <f t="shared" si="6"/>
        <v>0</v>
      </c>
      <c r="P33" s="382">
        <f t="shared" si="6"/>
        <v>0</v>
      </c>
      <c r="Q33" s="382">
        <f t="shared" si="6"/>
        <v>0</v>
      </c>
      <c r="R33" s="382">
        <f t="shared" si="6"/>
        <v>0</v>
      </c>
      <c r="S33" s="382">
        <f t="shared" si="6"/>
        <v>0</v>
      </c>
      <c r="T33" s="382">
        <f>SUM(K33:P33)</f>
        <v>0</v>
      </c>
      <c r="U33" s="382">
        <f>SUM(U34:U39)</f>
        <v>0</v>
      </c>
      <c r="V33" s="382">
        <f>SUM(V34:V39)</f>
        <v>0</v>
      </c>
      <c r="W33" s="382">
        <f>SUM(W34:W39)</f>
        <v>0</v>
      </c>
      <c r="X33" s="382">
        <f>SUM(X34:X39)</f>
        <v>0</v>
      </c>
      <c r="Y33" s="382">
        <f>SUM(U33:X33)</f>
        <v>0</v>
      </c>
      <c r="Z33" s="382">
        <f t="shared" si="2"/>
        <v>0</v>
      </c>
      <c r="AA33" s="382">
        <f>SUM(AA34:AA39)</f>
        <v>0</v>
      </c>
      <c r="AB33" s="382">
        <f>SUM(AB34:AB39)</f>
        <v>0</v>
      </c>
      <c r="AC33" s="382">
        <f>SUM(AC34:AC39)</f>
        <v>0</v>
      </c>
      <c r="AD33" s="382">
        <f>SUM(AD34:AD39)</f>
        <v>0</v>
      </c>
      <c r="AE33" s="382">
        <f>SUM(AA33:AD33)</f>
        <v>0</v>
      </c>
      <c r="AF33" s="382">
        <f>SUM(AF34:AF39)</f>
        <v>0</v>
      </c>
      <c r="AG33" s="382">
        <f>SUM(AG34:AG39)</f>
        <v>0</v>
      </c>
      <c r="AH33" s="382">
        <f>SUM(AH34:AH39)</f>
        <v>0</v>
      </c>
      <c r="AI33" s="382">
        <f>SUM(AI34:AI39)</f>
        <v>0</v>
      </c>
    </row>
    <row r="34" spans="2:35" ht="15" customHeight="1" hidden="1">
      <c r="B34" s="386"/>
      <c r="C34" s="386"/>
      <c r="D34" s="386"/>
      <c r="E34" s="387"/>
      <c r="F34" s="387"/>
      <c r="G34" s="388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9"/>
      <c r="V34" s="389"/>
      <c r="W34" s="389"/>
      <c r="X34" s="389"/>
      <c r="Y34" s="389"/>
      <c r="Z34" s="389">
        <f t="shared" si="2"/>
        <v>0</v>
      </c>
      <c r="AA34" s="389"/>
      <c r="AB34" s="389"/>
      <c r="AC34" s="389"/>
      <c r="AD34" s="389"/>
      <c r="AE34" s="389"/>
      <c r="AF34" s="389"/>
      <c r="AG34" s="389"/>
      <c r="AH34" s="389"/>
      <c r="AI34" s="389"/>
    </row>
    <row r="35" spans="2:35" ht="15" customHeight="1" hidden="1">
      <c r="B35" s="386"/>
      <c r="C35" s="386"/>
      <c r="D35" s="386"/>
      <c r="E35" s="387"/>
      <c r="F35" s="387"/>
      <c r="G35" s="388"/>
      <c r="H35" s="389"/>
      <c r="I35" s="389"/>
      <c r="J35" s="389"/>
      <c r="K35" s="389"/>
      <c r="L35" s="389"/>
      <c r="M35" s="389"/>
      <c r="N35" s="389"/>
      <c r="O35" s="389"/>
      <c r="P35" s="389"/>
      <c r="Q35" s="389"/>
      <c r="R35" s="389"/>
      <c r="S35" s="389"/>
      <c r="T35" s="389"/>
      <c r="U35" s="389"/>
      <c r="V35" s="389"/>
      <c r="W35" s="389"/>
      <c r="X35" s="389"/>
      <c r="Y35" s="389"/>
      <c r="Z35" s="389">
        <f t="shared" si="2"/>
        <v>0</v>
      </c>
      <c r="AA35" s="389"/>
      <c r="AB35" s="389"/>
      <c r="AC35" s="389"/>
      <c r="AD35" s="389"/>
      <c r="AE35" s="389"/>
      <c r="AF35" s="389"/>
      <c r="AG35" s="389"/>
      <c r="AH35" s="389"/>
      <c r="AI35" s="389"/>
    </row>
    <row r="36" spans="2:35" ht="15" customHeight="1" hidden="1">
      <c r="B36" s="386"/>
      <c r="C36" s="386"/>
      <c r="D36" s="386"/>
      <c r="E36" s="387"/>
      <c r="F36" s="387"/>
      <c r="G36" s="388"/>
      <c r="H36" s="389"/>
      <c r="I36" s="389"/>
      <c r="J36" s="389"/>
      <c r="K36" s="389"/>
      <c r="L36" s="389"/>
      <c r="M36" s="389"/>
      <c r="N36" s="389"/>
      <c r="O36" s="389"/>
      <c r="P36" s="389"/>
      <c r="Q36" s="389"/>
      <c r="R36" s="389"/>
      <c r="S36" s="389"/>
      <c r="T36" s="389"/>
      <c r="U36" s="389"/>
      <c r="V36" s="389"/>
      <c r="W36" s="389"/>
      <c r="X36" s="389"/>
      <c r="Y36" s="389"/>
      <c r="Z36" s="389">
        <f t="shared" si="2"/>
        <v>0</v>
      </c>
      <c r="AA36" s="389"/>
      <c r="AB36" s="389"/>
      <c r="AC36" s="389"/>
      <c r="AD36" s="389"/>
      <c r="AE36" s="389"/>
      <c r="AF36" s="389"/>
      <c r="AG36" s="389"/>
      <c r="AH36" s="389"/>
      <c r="AI36" s="389"/>
    </row>
    <row r="37" spans="2:35" ht="15" customHeight="1" hidden="1">
      <c r="B37" s="386"/>
      <c r="C37" s="386"/>
      <c r="D37" s="386"/>
      <c r="E37" s="387"/>
      <c r="F37" s="387"/>
      <c r="G37" s="388"/>
      <c r="H37" s="389"/>
      <c r="I37" s="389"/>
      <c r="J37" s="389"/>
      <c r="K37" s="389"/>
      <c r="L37" s="389"/>
      <c r="M37" s="389"/>
      <c r="N37" s="389"/>
      <c r="O37" s="389"/>
      <c r="P37" s="389"/>
      <c r="Q37" s="389"/>
      <c r="R37" s="389"/>
      <c r="S37" s="389"/>
      <c r="T37" s="389"/>
      <c r="U37" s="389"/>
      <c r="V37" s="389"/>
      <c r="W37" s="389"/>
      <c r="X37" s="389"/>
      <c r="Y37" s="389"/>
      <c r="Z37" s="389">
        <f t="shared" si="2"/>
        <v>0</v>
      </c>
      <c r="AA37" s="389"/>
      <c r="AB37" s="389"/>
      <c r="AC37" s="389"/>
      <c r="AD37" s="389"/>
      <c r="AE37" s="389"/>
      <c r="AF37" s="389"/>
      <c r="AG37" s="389"/>
      <c r="AH37" s="389"/>
      <c r="AI37" s="389"/>
    </row>
    <row r="38" spans="2:35" ht="15" customHeight="1" hidden="1">
      <c r="B38" s="386"/>
      <c r="C38" s="386"/>
      <c r="D38" s="386"/>
      <c r="E38" s="387"/>
      <c r="F38" s="387"/>
      <c r="G38" s="388"/>
      <c r="H38" s="389"/>
      <c r="I38" s="389"/>
      <c r="J38" s="389"/>
      <c r="K38" s="389"/>
      <c r="L38" s="389"/>
      <c r="M38" s="389"/>
      <c r="N38" s="389"/>
      <c r="O38" s="389"/>
      <c r="P38" s="389"/>
      <c r="Q38" s="389"/>
      <c r="R38" s="389"/>
      <c r="S38" s="389"/>
      <c r="T38" s="389"/>
      <c r="U38" s="389"/>
      <c r="V38" s="389"/>
      <c r="W38" s="389"/>
      <c r="X38" s="389"/>
      <c r="Y38" s="389"/>
      <c r="Z38" s="389">
        <f t="shared" si="2"/>
        <v>0</v>
      </c>
      <c r="AA38" s="389"/>
      <c r="AB38" s="389"/>
      <c r="AC38" s="389"/>
      <c r="AD38" s="389"/>
      <c r="AE38" s="389"/>
      <c r="AF38" s="389"/>
      <c r="AG38" s="389"/>
      <c r="AH38" s="389"/>
      <c r="AI38" s="389"/>
    </row>
    <row r="39" spans="2:35" ht="15" customHeight="1" hidden="1">
      <c r="B39" s="386"/>
      <c r="C39" s="386"/>
      <c r="D39" s="386"/>
      <c r="E39" s="387"/>
      <c r="F39" s="387"/>
      <c r="G39" s="388"/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89"/>
      <c r="S39" s="389"/>
      <c r="T39" s="389"/>
      <c r="U39" s="389"/>
      <c r="V39" s="389"/>
      <c r="W39" s="389"/>
      <c r="X39" s="389"/>
      <c r="Y39" s="389"/>
      <c r="Z39" s="389">
        <f t="shared" si="2"/>
        <v>0</v>
      </c>
      <c r="AA39" s="389"/>
      <c r="AB39" s="389"/>
      <c r="AC39" s="389"/>
      <c r="AD39" s="389"/>
      <c r="AE39" s="389"/>
      <c r="AF39" s="389"/>
      <c r="AG39" s="389"/>
      <c r="AH39" s="389"/>
      <c r="AI39" s="389"/>
    </row>
    <row r="40" spans="2:35" ht="15" customHeight="1" hidden="1">
      <c r="B40" s="386"/>
      <c r="C40" s="386"/>
      <c r="D40" s="386"/>
      <c r="E40" s="387"/>
      <c r="F40" s="387"/>
      <c r="G40" s="388"/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89"/>
      <c r="X40" s="389"/>
      <c r="Y40" s="389"/>
      <c r="Z40" s="389">
        <f t="shared" si="2"/>
        <v>0</v>
      </c>
      <c r="AA40" s="389"/>
      <c r="AB40" s="389"/>
      <c r="AC40" s="389"/>
      <c r="AD40" s="389"/>
      <c r="AE40" s="389"/>
      <c r="AF40" s="389"/>
      <c r="AG40" s="389"/>
      <c r="AH40" s="389"/>
      <c r="AI40" s="389"/>
    </row>
    <row r="41" spans="2:35" ht="14.25">
      <c r="B41" s="381"/>
      <c r="C41" s="381">
        <f>'[1]GASTOS MATRIZ'!B38</f>
        <v>140</v>
      </c>
      <c r="D41" s="381"/>
      <c r="E41" s="390"/>
      <c r="F41" s="390"/>
      <c r="G41" s="385" t="str">
        <f>'[1]GASTOS MATRIZ'!F38</f>
        <v>Personal Contratado</v>
      </c>
      <c r="H41" s="382">
        <f>SUM(H42:H53)</f>
        <v>177390000</v>
      </c>
      <c r="I41" s="382">
        <f aca="true" t="shared" si="7" ref="I41:S41">SUM(I42:I53)</f>
        <v>-29653333</v>
      </c>
      <c r="J41" s="382">
        <f t="shared" si="7"/>
        <v>147736667</v>
      </c>
      <c r="K41" s="382">
        <f t="shared" si="7"/>
        <v>0</v>
      </c>
      <c r="L41" s="382">
        <f t="shared" si="7"/>
        <v>2340000</v>
      </c>
      <c r="M41" s="382">
        <f t="shared" si="7"/>
        <v>6500000</v>
      </c>
      <c r="N41" s="382">
        <f t="shared" si="7"/>
        <v>19316000</v>
      </c>
      <c r="O41" s="382">
        <f t="shared" si="7"/>
        <v>28156000</v>
      </c>
      <c r="P41" s="382">
        <f>SUM(P42:P53)</f>
        <v>44800000</v>
      </c>
      <c r="Q41" s="382">
        <f t="shared" si="7"/>
        <v>25000000</v>
      </c>
      <c r="R41" s="382">
        <f t="shared" si="7"/>
        <v>19800000</v>
      </c>
      <c r="S41" s="382">
        <f t="shared" si="7"/>
        <v>9900000</v>
      </c>
      <c r="T41" s="382">
        <f>SUM(K41:P41)</f>
        <v>101112000</v>
      </c>
      <c r="U41" s="382">
        <f>SUM(U42:U53)</f>
        <v>0</v>
      </c>
      <c r="V41" s="382">
        <f>SUM(V42:V53)</f>
        <v>0</v>
      </c>
      <c r="W41" s="382">
        <f>SUM(W42:W53)</f>
        <v>0</v>
      </c>
      <c r="X41" s="382">
        <f>SUM(X42:X53)</f>
        <v>0</v>
      </c>
      <c r="Y41" s="382">
        <f>SUM(U41:X41)</f>
        <v>0</v>
      </c>
      <c r="Z41" s="382">
        <f t="shared" si="2"/>
        <v>101112000</v>
      </c>
      <c r="AA41" s="382">
        <f>SUM(AA42:AA53)</f>
        <v>0</v>
      </c>
      <c r="AB41" s="382">
        <f>SUM(AB42:AB53)</f>
        <v>0</v>
      </c>
      <c r="AC41" s="382">
        <f>SUM(AC42:AC53)</f>
        <v>0</v>
      </c>
      <c r="AD41" s="382">
        <f>SUM(AD42:AD53)</f>
        <v>0</v>
      </c>
      <c r="AE41" s="382">
        <f>SUM(AA41:AD41)</f>
        <v>0</v>
      </c>
      <c r="AF41" s="382">
        <f>SUM(AF42:AF53)</f>
        <v>127656000</v>
      </c>
      <c r="AG41" s="382">
        <f>SUM(AG42:AG53)</f>
        <v>20080667</v>
      </c>
      <c r="AH41" s="382">
        <f>SUM(AH42:AH53)</f>
        <v>127656000</v>
      </c>
      <c r="AI41" s="382">
        <f>SUM(AI42:AI53)</f>
        <v>0</v>
      </c>
    </row>
    <row r="42" spans="2:35" ht="15" customHeight="1" hidden="1">
      <c r="B42" s="386"/>
      <c r="C42" s="386"/>
      <c r="D42" s="386">
        <f>'[1]GASTOS MATRIZ'!C39</f>
        <v>141</v>
      </c>
      <c r="E42" s="387" t="str">
        <f>'[1]GASTOS MATRIZ'!D39</f>
        <v>30</v>
      </c>
      <c r="F42" s="387" t="str">
        <f>'[1]GASTOS MATRIZ'!E39</f>
        <v>011</v>
      </c>
      <c r="G42" s="388" t="str">
        <f>'[1]GASTOS MATRIZ'!F39</f>
        <v>Contratación de Personal Técnico</v>
      </c>
      <c r="H42" s="389">
        <f>'[1]GASTOS MATRIZ'!G39</f>
        <v>0</v>
      </c>
      <c r="I42" s="389">
        <f>'[1]GASTOS MATRIZ'!H39</f>
        <v>0</v>
      </c>
      <c r="J42" s="389">
        <f>H42+I42</f>
        <v>0</v>
      </c>
      <c r="K42" s="389">
        <f>'[1]RESU X MES'!H30</f>
        <v>0</v>
      </c>
      <c r="L42" s="389">
        <f>'[1]RESU X MES'!H288</f>
        <v>0</v>
      </c>
      <c r="M42" s="389">
        <f>'[1]RESU X MES'!H547</f>
        <v>0</v>
      </c>
      <c r="N42" s="389"/>
      <c r="O42" s="389">
        <f>SUM(E42:J42)</f>
        <v>0</v>
      </c>
      <c r="P42" s="389"/>
      <c r="Q42" s="389"/>
      <c r="R42" s="389"/>
      <c r="S42" s="389"/>
      <c r="T42" s="389">
        <f>SUM(K42:P42)</f>
        <v>0</v>
      </c>
      <c r="U42" s="389">
        <f>'[1]RESU X MES'!H1071</f>
        <v>0</v>
      </c>
      <c r="V42" s="389">
        <f>'[1]RESU X MES'!H1333</f>
        <v>0</v>
      </c>
      <c r="W42" s="389">
        <f>'[1]RESU X MES'!H1596</f>
        <v>0</v>
      </c>
      <c r="X42" s="389">
        <f>'[1]RESU X MES'!H1857</f>
        <v>0</v>
      </c>
      <c r="Y42" s="389">
        <f>SUM(U42:X42)</f>
        <v>0</v>
      </c>
      <c r="Z42" s="389">
        <f t="shared" si="2"/>
        <v>0</v>
      </c>
      <c r="AA42" s="389">
        <f>'[1]RESU X MES'!H2116</f>
        <v>0</v>
      </c>
      <c r="AB42" s="389">
        <f>'[1]RESU X MES'!H2378</f>
        <v>0</v>
      </c>
      <c r="AC42" s="389">
        <f>'[1]RESU X MES'!H2640</f>
        <v>0</v>
      </c>
      <c r="AD42" s="389">
        <f>'[1]RESU X MES'!H2903</f>
        <v>0</v>
      </c>
      <c r="AE42" s="389">
        <f>SUM(AA42:AD42)</f>
        <v>0</v>
      </c>
      <c r="AF42" s="389">
        <f>T42+Y42+AE42</f>
        <v>0</v>
      </c>
      <c r="AG42" s="389">
        <f>J42-AF42</f>
        <v>0</v>
      </c>
      <c r="AH42" s="389">
        <f>AF42-AI42</f>
        <v>0</v>
      </c>
      <c r="AI42" s="389">
        <f>'[1]RESU X MES'!N30+'[1]RESU X MES'!N288+'[1]RESU X MES'!N547+'[1]RESU X MES'!N810+'[1]RESU X MES'!N1071+'[1]RESU X MES'!N1333+'[1]RESU X MES'!N1596+'[1]RESU X MES'!N1857+'[1]RESU X MES'!N2116+'[1]RESU X MES'!N2378+'[1]RESU X MES'!N2640+'[1]RESU X MES'!N2903</f>
        <v>0</v>
      </c>
    </row>
    <row r="43" spans="2:35" ht="15" customHeight="1" hidden="1">
      <c r="B43" s="386"/>
      <c r="C43" s="386"/>
      <c r="D43" s="386"/>
      <c r="E43" s="387"/>
      <c r="F43" s="387"/>
      <c r="G43" s="388"/>
      <c r="H43" s="389"/>
      <c r="I43" s="389"/>
      <c r="J43" s="389"/>
      <c r="K43" s="389"/>
      <c r="L43" s="389"/>
      <c r="M43" s="389"/>
      <c r="N43" s="389"/>
      <c r="O43" s="389"/>
      <c r="P43" s="389"/>
      <c r="Q43" s="389"/>
      <c r="R43" s="389"/>
      <c r="S43" s="389"/>
      <c r="T43" s="389"/>
      <c r="U43" s="389"/>
      <c r="V43" s="389"/>
      <c r="W43" s="389"/>
      <c r="X43" s="389"/>
      <c r="Y43" s="389"/>
      <c r="Z43" s="389">
        <f t="shared" si="2"/>
        <v>0</v>
      </c>
      <c r="AA43" s="389"/>
      <c r="AB43" s="389"/>
      <c r="AC43" s="389"/>
      <c r="AD43" s="389"/>
      <c r="AE43" s="389"/>
      <c r="AF43" s="389"/>
      <c r="AG43" s="389"/>
      <c r="AH43" s="389"/>
      <c r="AI43" s="389"/>
    </row>
    <row r="44" spans="2:35" ht="15" customHeight="1" hidden="1">
      <c r="B44" s="386"/>
      <c r="C44" s="386"/>
      <c r="D44" s="386"/>
      <c r="E44" s="387"/>
      <c r="F44" s="387"/>
      <c r="G44" s="388"/>
      <c r="H44" s="389"/>
      <c r="I44" s="389"/>
      <c r="J44" s="389"/>
      <c r="K44" s="389"/>
      <c r="L44" s="389"/>
      <c r="M44" s="389"/>
      <c r="N44" s="389"/>
      <c r="O44" s="389"/>
      <c r="P44" s="389"/>
      <c r="Q44" s="389"/>
      <c r="R44" s="389"/>
      <c r="S44" s="389"/>
      <c r="T44" s="389"/>
      <c r="U44" s="389"/>
      <c r="V44" s="389"/>
      <c r="W44" s="389"/>
      <c r="X44" s="389"/>
      <c r="Y44" s="389"/>
      <c r="Z44" s="389">
        <f t="shared" si="2"/>
        <v>0</v>
      </c>
      <c r="AA44" s="389"/>
      <c r="AB44" s="389"/>
      <c r="AC44" s="389"/>
      <c r="AD44" s="389"/>
      <c r="AE44" s="389"/>
      <c r="AF44" s="389"/>
      <c r="AG44" s="389"/>
      <c r="AH44" s="389"/>
      <c r="AI44" s="389"/>
    </row>
    <row r="45" spans="2:35" ht="15" customHeight="1" hidden="1">
      <c r="B45" s="386"/>
      <c r="C45" s="386"/>
      <c r="D45" s="386"/>
      <c r="E45" s="387"/>
      <c r="F45" s="387"/>
      <c r="G45" s="388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389">
        <f t="shared" si="2"/>
        <v>0</v>
      </c>
      <c r="AA45" s="389"/>
      <c r="AB45" s="389"/>
      <c r="AC45" s="389"/>
      <c r="AD45" s="389"/>
      <c r="AE45" s="389"/>
      <c r="AF45" s="389"/>
      <c r="AG45" s="389"/>
      <c r="AH45" s="389"/>
      <c r="AI45" s="389"/>
    </row>
    <row r="46" spans="2:35" ht="14.25">
      <c r="B46" s="386"/>
      <c r="C46" s="386"/>
      <c r="D46" s="386">
        <f>'[1]GASTOS MATRIZ'!C43</f>
        <v>145</v>
      </c>
      <c r="E46" s="387" t="str">
        <f>'[1]GASTOS MATRIZ'!D43</f>
        <v>30</v>
      </c>
      <c r="F46" s="387" t="str">
        <f>'[1]GASTOS MATRIZ'!E43</f>
        <v>011</v>
      </c>
      <c r="G46" s="388" t="str">
        <f>'[1]GASTOS MATRIZ'!F43</f>
        <v>Honorarios Profesionales</v>
      </c>
      <c r="H46" s="389">
        <f>'[1]GASTOS MATRIZ'!G43</f>
        <v>40500000</v>
      </c>
      <c r="I46" s="389">
        <v>16000000</v>
      </c>
      <c r="J46" s="389">
        <f>H46+I46</f>
        <v>56500000</v>
      </c>
      <c r="K46" s="389">
        <f>'[1]RESU X MES'!H34</f>
        <v>0</v>
      </c>
      <c r="L46" s="389">
        <f>'[1]RESU X MES'!H292</f>
        <v>0</v>
      </c>
      <c r="M46" s="389">
        <f>'[1]RESU X MES'!H551</f>
        <v>6500000</v>
      </c>
      <c r="N46" s="389">
        <v>0</v>
      </c>
      <c r="O46" s="389">
        <f>+K46+L46+M46+N46</f>
        <v>6500000</v>
      </c>
      <c r="P46" s="389">
        <v>25000000</v>
      </c>
      <c r="Q46" s="389">
        <v>25000000</v>
      </c>
      <c r="R46" s="389">
        <v>0</v>
      </c>
      <c r="S46" s="389">
        <v>0</v>
      </c>
      <c r="T46" s="389">
        <f>SUM(K46:P46)</f>
        <v>38000000</v>
      </c>
      <c r="U46" s="389">
        <f>'[1]RESU X MES'!H1075</f>
        <v>0</v>
      </c>
      <c r="V46" s="389">
        <f>'[1]RESU X MES'!H1337</f>
        <v>0</v>
      </c>
      <c r="W46" s="389">
        <f>'[1]RESU X MES'!H1600</f>
        <v>0</v>
      </c>
      <c r="X46" s="389">
        <f>'[1]RESU X MES'!H1861</f>
        <v>0</v>
      </c>
      <c r="Y46" s="389">
        <f>SUM(U46:X46)</f>
        <v>0</v>
      </c>
      <c r="Z46" s="389">
        <f t="shared" si="2"/>
        <v>38000000</v>
      </c>
      <c r="AA46" s="389">
        <f>'[1]RESU X MES'!H2120</f>
        <v>0</v>
      </c>
      <c r="AB46" s="389">
        <f>'[1]RESU X MES'!H2382</f>
        <v>0</v>
      </c>
      <c r="AC46" s="389">
        <f>'[1]RESU X MES'!H2644</f>
        <v>0</v>
      </c>
      <c r="AD46" s="389">
        <f>'[1]RESU X MES'!H2907</f>
        <v>0</v>
      </c>
      <c r="AE46" s="389">
        <f>SUM(AA46:AD46)</f>
        <v>0</v>
      </c>
      <c r="AF46" s="389">
        <f>+O46+P46+Q46+R46+S46</f>
        <v>56500000</v>
      </c>
      <c r="AG46" s="389">
        <f>J46-AF46</f>
        <v>0</v>
      </c>
      <c r="AH46" s="389">
        <f>AF46-AI46</f>
        <v>56500000</v>
      </c>
      <c r="AI46" s="389">
        <f>'[1]RESU X MES'!N34+'[1]RESU X MES'!N292+'[1]RESU X MES'!N551+'[1]RESU X MES'!N814+'[1]RESU X MES'!N1075+'[1]RESU X MES'!N1337+'[1]RESU X MES'!N1600+'[1]RESU X MES'!N1861+'[1]RESU X MES'!N2120+'[1]RESU X MES'!N2382+'[1]RESU X MES'!N2644+'[1]RESU X MES'!N2907</f>
        <v>0</v>
      </c>
    </row>
    <row r="47" spans="2:35" ht="15" customHeight="1" hidden="1">
      <c r="B47" s="386"/>
      <c r="C47" s="386"/>
      <c r="D47" s="386"/>
      <c r="E47" s="387"/>
      <c r="F47" s="387"/>
      <c r="G47" s="388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389"/>
      <c r="T47" s="389"/>
      <c r="U47" s="389"/>
      <c r="V47" s="389"/>
      <c r="W47" s="389"/>
      <c r="X47" s="389"/>
      <c r="Y47" s="389"/>
      <c r="Z47" s="389">
        <f t="shared" si="2"/>
        <v>0</v>
      </c>
      <c r="AA47" s="389"/>
      <c r="AB47" s="389"/>
      <c r="AC47" s="389"/>
      <c r="AD47" s="389"/>
      <c r="AE47" s="389"/>
      <c r="AF47" s="389">
        <f aca="true" t="shared" si="8" ref="AF47:AF110">+O47+P47+Q47+R47+S47</f>
        <v>0</v>
      </c>
      <c r="AG47" s="389"/>
      <c r="AH47" s="389"/>
      <c r="AI47" s="389"/>
    </row>
    <row r="48" spans="2:35" ht="15" customHeight="1" hidden="1">
      <c r="B48" s="386"/>
      <c r="C48" s="386"/>
      <c r="D48" s="386"/>
      <c r="E48" s="387"/>
      <c r="F48" s="387"/>
      <c r="G48" s="388"/>
      <c r="H48" s="389"/>
      <c r="I48" s="389"/>
      <c r="J48" s="389"/>
      <c r="K48" s="389"/>
      <c r="L48" s="389"/>
      <c r="M48" s="389"/>
      <c r="N48" s="389"/>
      <c r="O48" s="389"/>
      <c r="P48" s="389"/>
      <c r="Q48" s="389"/>
      <c r="R48" s="389"/>
      <c r="S48" s="389"/>
      <c r="T48" s="389"/>
      <c r="U48" s="389"/>
      <c r="V48" s="389"/>
      <c r="W48" s="389"/>
      <c r="X48" s="389"/>
      <c r="Y48" s="389"/>
      <c r="Z48" s="389">
        <f t="shared" si="2"/>
        <v>0</v>
      </c>
      <c r="AA48" s="389"/>
      <c r="AB48" s="389"/>
      <c r="AC48" s="389"/>
      <c r="AD48" s="389"/>
      <c r="AE48" s="389"/>
      <c r="AF48" s="389">
        <f t="shared" si="8"/>
        <v>0</v>
      </c>
      <c r="AG48" s="389"/>
      <c r="AH48" s="389"/>
      <c r="AI48" s="389"/>
    </row>
    <row r="49" spans="2:35" ht="15" customHeight="1" hidden="1">
      <c r="B49" s="386"/>
      <c r="C49" s="386"/>
      <c r="D49" s="386"/>
      <c r="E49" s="387"/>
      <c r="F49" s="387"/>
      <c r="G49" s="388"/>
      <c r="H49" s="389"/>
      <c r="I49" s="389"/>
      <c r="J49" s="389"/>
      <c r="K49" s="389"/>
      <c r="L49" s="389"/>
      <c r="M49" s="389"/>
      <c r="N49" s="389"/>
      <c r="O49" s="389"/>
      <c r="P49" s="389"/>
      <c r="Q49" s="389"/>
      <c r="R49" s="389"/>
      <c r="S49" s="389"/>
      <c r="T49" s="389"/>
      <c r="U49" s="389"/>
      <c r="V49" s="389"/>
      <c r="W49" s="389"/>
      <c r="X49" s="389"/>
      <c r="Y49" s="389"/>
      <c r="Z49" s="389">
        <f t="shared" si="2"/>
        <v>0</v>
      </c>
      <c r="AA49" s="389"/>
      <c r="AB49" s="389"/>
      <c r="AC49" s="389"/>
      <c r="AD49" s="389"/>
      <c r="AE49" s="389"/>
      <c r="AF49" s="389">
        <f t="shared" si="8"/>
        <v>0</v>
      </c>
      <c r="AG49" s="389"/>
      <c r="AH49" s="389"/>
      <c r="AI49" s="389"/>
    </row>
    <row r="50" spans="2:35" ht="14.25">
      <c r="B50" s="386"/>
      <c r="C50" s="386"/>
      <c r="D50" s="386">
        <f>'[1]GASTOS MATRIZ'!C47</f>
        <v>144</v>
      </c>
      <c r="E50" s="387" t="str">
        <f>'[1]GASTOS MATRIZ'!D47</f>
        <v>30</v>
      </c>
      <c r="F50" s="387" t="str">
        <f>'[1]GASTOS MATRIZ'!E47</f>
        <v>011</v>
      </c>
      <c r="G50" s="388" t="str">
        <f>'[1]GASTOS MATRIZ'!F47</f>
        <v>Jornales</v>
      </c>
      <c r="H50" s="389">
        <f>'[1]GASTOS MATRIZ'!G47</f>
        <v>136890000</v>
      </c>
      <c r="I50" s="389">
        <v>-45653333</v>
      </c>
      <c r="J50" s="389">
        <f>H50+I50</f>
        <v>91236667</v>
      </c>
      <c r="K50" s="389">
        <f>'[1]RESU X MES'!H38</f>
        <v>0</v>
      </c>
      <c r="L50" s="389">
        <f>'[1]RESU X MES'!H296</f>
        <v>2340000</v>
      </c>
      <c r="M50" s="389">
        <f>'[1]RESU X MES'!H555</f>
        <v>0</v>
      </c>
      <c r="N50" s="389">
        <v>19316000</v>
      </c>
      <c r="O50" s="389">
        <f>+K50+L50+M50+N50</f>
        <v>21656000</v>
      </c>
      <c r="P50" s="389">
        <v>19800000</v>
      </c>
      <c r="Q50" s="389">
        <v>0</v>
      </c>
      <c r="R50" s="389">
        <f>9900000+9900000</f>
        <v>19800000</v>
      </c>
      <c r="S50" s="389">
        <v>9900000</v>
      </c>
      <c r="T50" s="389">
        <f>SUM(K50:P50)</f>
        <v>63112000</v>
      </c>
      <c r="U50" s="389">
        <f>'[1]RESU X MES'!H1079</f>
        <v>0</v>
      </c>
      <c r="V50" s="389">
        <f>'[1]RESU X MES'!H1341</f>
        <v>0</v>
      </c>
      <c r="W50" s="389">
        <f>'[1]RESU X MES'!H1604</f>
        <v>0</v>
      </c>
      <c r="X50" s="389">
        <f>'[1]RESU X MES'!H1865</f>
        <v>0</v>
      </c>
      <c r="Y50" s="389">
        <f>SUM(U50:X50)</f>
        <v>0</v>
      </c>
      <c r="Z50" s="389">
        <f t="shared" si="2"/>
        <v>63112000</v>
      </c>
      <c r="AA50" s="389">
        <f>'[1]RESU X MES'!H2124</f>
        <v>0</v>
      </c>
      <c r="AB50" s="389">
        <f>'[1]RESU X MES'!H2386</f>
        <v>0</v>
      </c>
      <c r="AC50" s="389">
        <f>'[1]RESU X MES'!H2648</f>
        <v>0</v>
      </c>
      <c r="AD50" s="389">
        <f>'[1]RESU X MES'!H2911</f>
        <v>0</v>
      </c>
      <c r="AE50" s="389">
        <f>SUM(AA50:AD50)</f>
        <v>0</v>
      </c>
      <c r="AF50" s="389">
        <f t="shared" si="8"/>
        <v>71156000</v>
      </c>
      <c r="AG50" s="389">
        <f>J50-AF50</f>
        <v>20080667</v>
      </c>
      <c r="AH50" s="389">
        <f>AF50-AI50</f>
        <v>71156000</v>
      </c>
      <c r="AI50" s="389">
        <f>'[1]RESU X MES'!N38+'[1]RESU X MES'!N296+'[1]RESU X MES'!N555+'[1]RESU X MES'!N818+'[1]RESU X MES'!N1079+'[1]RESU X MES'!N1341+'[1]RESU X MES'!N1604+'[1]RESU X MES'!N1865+'[1]RESU X MES'!N2124+'[1]RESU X MES'!N2386+'[1]RESU X MES'!N2648+'[1]RESU X MES'!N2911</f>
        <v>0</v>
      </c>
    </row>
    <row r="51" spans="2:35" ht="15" customHeight="1" hidden="1">
      <c r="B51" s="386"/>
      <c r="C51" s="386"/>
      <c r="D51" s="386"/>
      <c r="E51" s="387"/>
      <c r="F51" s="387"/>
      <c r="G51" s="388"/>
      <c r="H51" s="389"/>
      <c r="I51" s="389"/>
      <c r="J51" s="389"/>
      <c r="K51" s="389"/>
      <c r="L51" s="389"/>
      <c r="M51" s="389"/>
      <c r="N51" s="389"/>
      <c r="O51" s="389"/>
      <c r="P51" s="389"/>
      <c r="Q51" s="389"/>
      <c r="R51" s="389"/>
      <c r="S51" s="389"/>
      <c r="T51" s="389"/>
      <c r="U51" s="389"/>
      <c r="V51" s="389"/>
      <c r="W51" s="389"/>
      <c r="X51" s="389"/>
      <c r="Y51" s="389"/>
      <c r="Z51" s="389">
        <f t="shared" si="2"/>
        <v>0</v>
      </c>
      <c r="AA51" s="389"/>
      <c r="AB51" s="389"/>
      <c r="AC51" s="389"/>
      <c r="AD51" s="389"/>
      <c r="AE51" s="389"/>
      <c r="AF51" s="389">
        <f t="shared" si="8"/>
        <v>0</v>
      </c>
      <c r="AG51" s="389"/>
      <c r="AH51" s="389"/>
      <c r="AI51" s="389"/>
    </row>
    <row r="52" spans="2:35" ht="15" customHeight="1" hidden="1">
      <c r="B52" s="386"/>
      <c r="C52" s="386"/>
      <c r="D52" s="386"/>
      <c r="E52" s="387"/>
      <c r="F52" s="387"/>
      <c r="G52" s="388"/>
      <c r="H52" s="389"/>
      <c r="I52" s="389"/>
      <c r="J52" s="389"/>
      <c r="K52" s="389"/>
      <c r="L52" s="389"/>
      <c r="M52" s="389"/>
      <c r="N52" s="389"/>
      <c r="O52" s="389"/>
      <c r="P52" s="389"/>
      <c r="Q52" s="389"/>
      <c r="R52" s="389"/>
      <c r="S52" s="389"/>
      <c r="T52" s="389"/>
      <c r="U52" s="389"/>
      <c r="V52" s="389"/>
      <c r="W52" s="389"/>
      <c r="X52" s="389"/>
      <c r="Y52" s="389"/>
      <c r="Z52" s="389">
        <f t="shared" si="2"/>
        <v>0</v>
      </c>
      <c r="AA52" s="389"/>
      <c r="AB52" s="389"/>
      <c r="AC52" s="389"/>
      <c r="AD52" s="389"/>
      <c r="AE52" s="389"/>
      <c r="AF52" s="389">
        <f t="shared" si="8"/>
        <v>0</v>
      </c>
      <c r="AG52" s="389"/>
      <c r="AH52" s="389"/>
      <c r="AI52" s="389"/>
    </row>
    <row r="53" spans="2:35" ht="14.25">
      <c r="B53" s="386"/>
      <c r="C53" s="386"/>
      <c r="D53" s="386"/>
      <c r="E53" s="387"/>
      <c r="F53" s="387"/>
      <c r="G53" s="388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9"/>
      <c r="T53" s="389"/>
      <c r="U53" s="389"/>
      <c r="V53" s="389"/>
      <c r="W53" s="389"/>
      <c r="X53" s="389"/>
      <c r="Y53" s="389"/>
      <c r="Z53" s="389">
        <f t="shared" si="2"/>
        <v>0</v>
      </c>
      <c r="AA53" s="389"/>
      <c r="AB53" s="389"/>
      <c r="AC53" s="389"/>
      <c r="AD53" s="389"/>
      <c r="AE53" s="389"/>
      <c r="AF53" s="389">
        <f t="shared" si="8"/>
        <v>0</v>
      </c>
      <c r="AG53" s="389"/>
      <c r="AH53" s="389"/>
      <c r="AI53" s="389"/>
    </row>
    <row r="54" spans="2:35" ht="14.25">
      <c r="B54" s="381"/>
      <c r="C54" s="381">
        <f>'[1]GASTOS MATRIZ'!B51</f>
        <v>190</v>
      </c>
      <c r="D54" s="381"/>
      <c r="E54" s="390"/>
      <c r="F54" s="390"/>
      <c r="G54" s="385" t="str">
        <f>'[1]GASTOS MATRIZ'!F51</f>
        <v>Otros Gastos del Personal</v>
      </c>
      <c r="H54" s="382">
        <f aca="true" t="shared" si="9" ref="H54:S54">SUM(H55:H57)</f>
        <v>0</v>
      </c>
      <c r="I54" s="382">
        <f t="shared" si="9"/>
        <v>2263333</v>
      </c>
      <c r="J54" s="382">
        <f t="shared" si="9"/>
        <v>2263333</v>
      </c>
      <c r="K54" s="382">
        <f t="shared" si="9"/>
        <v>0</v>
      </c>
      <c r="L54" s="382">
        <f t="shared" si="9"/>
        <v>2263333</v>
      </c>
      <c r="M54" s="382">
        <f t="shared" si="9"/>
        <v>0</v>
      </c>
      <c r="N54" s="382">
        <f t="shared" si="9"/>
        <v>0</v>
      </c>
      <c r="O54" s="382">
        <f t="shared" si="9"/>
        <v>2263333</v>
      </c>
      <c r="P54" s="382">
        <f>SUM(P55:P57)</f>
        <v>0</v>
      </c>
      <c r="Q54" s="382">
        <f t="shared" si="9"/>
        <v>0</v>
      </c>
      <c r="R54" s="382">
        <f t="shared" si="9"/>
        <v>0</v>
      </c>
      <c r="S54" s="382">
        <f t="shared" si="9"/>
        <v>0</v>
      </c>
      <c r="T54" s="382">
        <f>SUM(K54:P54)</f>
        <v>4526666</v>
      </c>
      <c r="U54" s="382">
        <f>SUM(U55:U57)</f>
        <v>0</v>
      </c>
      <c r="V54" s="382">
        <f>SUM(V55:V57)</f>
        <v>0</v>
      </c>
      <c r="W54" s="382">
        <f>SUM(W55:W57)</f>
        <v>0</v>
      </c>
      <c r="X54" s="382">
        <f>SUM(X55:X57)</f>
        <v>0</v>
      </c>
      <c r="Y54" s="382">
        <f>SUM(U54:X54)</f>
        <v>0</v>
      </c>
      <c r="Z54" s="382">
        <f t="shared" si="2"/>
        <v>4526666</v>
      </c>
      <c r="AA54" s="382">
        <f>SUM(AA55:AA57)</f>
        <v>0</v>
      </c>
      <c r="AB54" s="382">
        <f>SUM(AB55:AB57)</f>
        <v>0</v>
      </c>
      <c r="AC54" s="382">
        <f>SUM(AC55:AC57)</f>
        <v>0</v>
      </c>
      <c r="AD54" s="382">
        <f>SUM(AD55:AD57)</f>
        <v>0</v>
      </c>
      <c r="AE54" s="382">
        <f>SUM(AA54:AD54)</f>
        <v>0</v>
      </c>
      <c r="AF54" s="382">
        <f t="shared" si="8"/>
        <v>2263333</v>
      </c>
      <c r="AG54" s="382">
        <f>SUM(AG55:AG57)</f>
        <v>0</v>
      </c>
      <c r="AH54" s="382">
        <f>SUM(AH55:AH57)</f>
        <v>2263333</v>
      </c>
      <c r="AI54" s="382">
        <f>SUM(AI55:AI57)</f>
        <v>0</v>
      </c>
    </row>
    <row r="55" spans="2:35" ht="14.25">
      <c r="B55" s="386"/>
      <c r="C55" s="386"/>
      <c r="D55" s="386">
        <f>'[1]GASTOS MATRIZ'!C52</f>
        <v>199</v>
      </c>
      <c r="E55" s="387" t="str">
        <f>'[1]GASTOS MATRIZ'!D52</f>
        <v>30</v>
      </c>
      <c r="F55" s="387" t="str">
        <f>'[1]GASTOS MATRIZ'!E52</f>
        <v>011</v>
      </c>
      <c r="G55" s="388" t="str">
        <f>'[1]GASTOS MATRIZ'!F52</f>
        <v>Otros Gastos del Personal</v>
      </c>
      <c r="H55" s="389">
        <f>'[1]GASTOS MATRIZ'!G52</f>
        <v>0</v>
      </c>
      <c r="I55" s="389">
        <f>'[1]GASTOS MATRIZ'!H52</f>
        <v>2263333</v>
      </c>
      <c r="J55" s="389">
        <f>H55+I55</f>
        <v>2263333</v>
      </c>
      <c r="K55" s="389">
        <f>'[1]RESU X MES'!H43</f>
        <v>0</v>
      </c>
      <c r="L55" s="389">
        <f>'[1]RESU X MES'!H301</f>
        <v>2263333</v>
      </c>
      <c r="M55" s="389">
        <f>'[1]RESU X MES'!H560</f>
        <v>0</v>
      </c>
      <c r="N55" s="389">
        <v>0</v>
      </c>
      <c r="O55" s="389">
        <f>+K55+L55+M55+N55</f>
        <v>2263333</v>
      </c>
      <c r="P55" s="389">
        <v>0</v>
      </c>
      <c r="Q55" s="389">
        <v>0</v>
      </c>
      <c r="R55" s="389"/>
      <c r="S55" s="389"/>
      <c r="T55" s="389">
        <f>SUM(K55:P55)</f>
        <v>4526666</v>
      </c>
      <c r="U55" s="389">
        <f>'[1]RESU X MES'!H1084</f>
        <v>0</v>
      </c>
      <c r="V55" s="389">
        <f>'[1]RESU X MES'!H1346</f>
        <v>0</v>
      </c>
      <c r="W55" s="389">
        <f>'[1]RESU X MES'!H1609</f>
        <v>0</v>
      </c>
      <c r="X55" s="389">
        <f>'[1]RESU X MES'!H1870</f>
        <v>0</v>
      </c>
      <c r="Y55" s="389">
        <f>SUM(U55:X55)</f>
        <v>0</v>
      </c>
      <c r="Z55" s="389">
        <f t="shared" si="2"/>
        <v>4526666</v>
      </c>
      <c r="AA55" s="389">
        <f>'[1]RESU X MES'!H2129</f>
        <v>0</v>
      </c>
      <c r="AB55" s="389">
        <f>'[1]RESU X MES'!H2391</f>
        <v>0</v>
      </c>
      <c r="AC55" s="389">
        <f>'[1]RESU X MES'!H2653</f>
        <v>0</v>
      </c>
      <c r="AD55" s="389">
        <f>'[1]RESU X MES'!H2916</f>
        <v>0</v>
      </c>
      <c r="AE55" s="389">
        <f>SUM(AA55:AD55)</f>
        <v>0</v>
      </c>
      <c r="AF55" s="389">
        <f t="shared" si="8"/>
        <v>2263333</v>
      </c>
      <c r="AG55" s="389">
        <f>J55-AF55</f>
        <v>0</v>
      </c>
      <c r="AH55" s="389">
        <f>AF55-AI55</f>
        <v>2263333</v>
      </c>
      <c r="AI55" s="389">
        <f>'[1]RESU X MES'!N43+'[1]RESU X MES'!N301+'[1]RESU X MES'!N560+'[1]RESU X MES'!N823+'[1]RESU X MES'!N1084+'[1]RESU X MES'!N1346+'[1]RESU X MES'!N1609+'[1]RESU X MES'!N1870+'[1]RESU X MES'!N2129+'[1]RESU X MES'!N2391+'[1]RESU X MES'!N2653+'[1]RESU X MES'!N2916</f>
        <v>0</v>
      </c>
    </row>
    <row r="56" spans="2:35" ht="14.25">
      <c r="B56" s="386"/>
      <c r="C56" s="386"/>
      <c r="D56" s="386"/>
      <c r="E56" s="387"/>
      <c r="F56" s="387"/>
      <c r="G56" s="388"/>
      <c r="H56" s="389"/>
      <c r="I56" s="389"/>
      <c r="J56" s="389"/>
      <c r="K56" s="389"/>
      <c r="L56" s="389"/>
      <c r="M56" s="389"/>
      <c r="N56" s="389"/>
      <c r="O56" s="389"/>
      <c r="P56" s="389"/>
      <c r="Q56" s="389"/>
      <c r="R56" s="389"/>
      <c r="S56" s="389"/>
      <c r="T56" s="389"/>
      <c r="U56" s="389"/>
      <c r="V56" s="389"/>
      <c r="W56" s="389"/>
      <c r="X56" s="389"/>
      <c r="Y56" s="389"/>
      <c r="Z56" s="389">
        <f t="shared" si="2"/>
        <v>0</v>
      </c>
      <c r="AA56" s="389"/>
      <c r="AB56" s="389"/>
      <c r="AC56" s="389"/>
      <c r="AD56" s="389"/>
      <c r="AE56" s="389"/>
      <c r="AF56" s="389">
        <f t="shared" si="8"/>
        <v>0</v>
      </c>
      <c r="AG56" s="389"/>
      <c r="AH56" s="389"/>
      <c r="AI56" s="389"/>
    </row>
    <row r="57" spans="2:35" ht="14.25">
      <c r="B57" s="386"/>
      <c r="C57" s="386"/>
      <c r="D57" s="386"/>
      <c r="E57" s="387"/>
      <c r="F57" s="387"/>
      <c r="G57" s="388"/>
      <c r="H57" s="389"/>
      <c r="I57" s="389"/>
      <c r="J57" s="389"/>
      <c r="K57" s="389"/>
      <c r="L57" s="389"/>
      <c r="M57" s="389"/>
      <c r="N57" s="389"/>
      <c r="O57" s="389"/>
      <c r="P57" s="389"/>
      <c r="Q57" s="389"/>
      <c r="R57" s="389"/>
      <c r="S57" s="389"/>
      <c r="T57" s="389"/>
      <c r="U57" s="389"/>
      <c r="V57" s="389"/>
      <c r="W57" s="389"/>
      <c r="X57" s="389"/>
      <c r="Y57" s="389"/>
      <c r="Z57" s="389"/>
      <c r="AA57" s="389"/>
      <c r="AB57" s="389"/>
      <c r="AC57" s="389"/>
      <c r="AD57" s="389"/>
      <c r="AE57" s="389"/>
      <c r="AF57" s="389">
        <f t="shared" si="8"/>
        <v>0</v>
      </c>
      <c r="AG57" s="389"/>
      <c r="AH57" s="389"/>
      <c r="AI57" s="389"/>
    </row>
    <row r="58" spans="2:35" ht="14.25">
      <c r="B58" s="381">
        <f>'[1]GASTOS MATRIZ'!A55</f>
        <v>200</v>
      </c>
      <c r="C58" s="381"/>
      <c r="D58" s="381"/>
      <c r="E58" s="390"/>
      <c r="F58" s="390"/>
      <c r="G58" s="385" t="str">
        <f>'[1]GASTOS MATRIZ'!F55</f>
        <v>SERVICIOS NO PERSONALES</v>
      </c>
      <c r="H58" s="382">
        <f>+H98</f>
        <v>0</v>
      </c>
      <c r="I58" s="382">
        <f aca="true" t="shared" si="10" ref="I58:AI58">+I98</f>
        <v>40000000</v>
      </c>
      <c r="J58" s="382">
        <f t="shared" si="10"/>
        <v>40000000</v>
      </c>
      <c r="K58" s="382">
        <f t="shared" si="10"/>
        <v>0</v>
      </c>
      <c r="L58" s="382">
        <f t="shared" si="10"/>
        <v>0</v>
      </c>
      <c r="M58" s="382">
        <f t="shared" si="10"/>
        <v>0</v>
      </c>
      <c r="N58" s="382">
        <f t="shared" si="10"/>
        <v>0</v>
      </c>
      <c r="O58" s="382">
        <f t="shared" si="10"/>
        <v>0</v>
      </c>
      <c r="P58" s="382">
        <f t="shared" si="10"/>
        <v>40000000</v>
      </c>
      <c r="Q58" s="382">
        <f t="shared" si="10"/>
        <v>0</v>
      </c>
      <c r="R58" s="382">
        <f t="shared" si="10"/>
        <v>0</v>
      </c>
      <c r="S58" s="382">
        <f t="shared" si="10"/>
        <v>0</v>
      </c>
      <c r="T58" s="382">
        <f t="shared" si="10"/>
        <v>0</v>
      </c>
      <c r="U58" s="382">
        <f t="shared" si="10"/>
        <v>0</v>
      </c>
      <c r="V58" s="382">
        <f t="shared" si="10"/>
        <v>0</v>
      </c>
      <c r="W58" s="382">
        <f t="shared" si="10"/>
        <v>0</v>
      </c>
      <c r="X58" s="382">
        <f t="shared" si="10"/>
        <v>0</v>
      </c>
      <c r="Y58" s="382">
        <f t="shared" si="10"/>
        <v>0</v>
      </c>
      <c r="Z58" s="382">
        <f t="shared" si="10"/>
        <v>0</v>
      </c>
      <c r="AA58" s="382">
        <f t="shared" si="10"/>
        <v>0</v>
      </c>
      <c r="AB58" s="382">
        <f t="shared" si="10"/>
        <v>0</v>
      </c>
      <c r="AC58" s="382">
        <f t="shared" si="10"/>
        <v>0</v>
      </c>
      <c r="AD58" s="382">
        <f t="shared" si="10"/>
        <v>0</v>
      </c>
      <c r="AE58" s="382">
        <f t="shared" si="10"/>
        <v>0</v>
      </c>
      <c r="AF58" s="382">
        <f t="shared" si="8"/>
        <v>40000000</v>
      </c>
      <c r="AG58" s="382">
        <f t="shared" si="10"/>
        <v>0</v>
      </c>
      <c r="AH58" s="382">
        <f t="shared" si="10"/>
        <v>40000000</v>
      </c>
      <c r="AI58" s="382">
        <f t="shared" si="10"/>
        <v>0</v>
      </c>
    </row>
    <row r="59" spans="2:35" ht="15" customHeight="1" hidden="1">
      <c r="B59" s="381"/>
      <c r="C59" s="381">
        <f>'[1]GASTOS MATRIZ'!B56</f>
        <v>210</v>
      </c>
      <c r="D59" s="381"/>
      <c r="E59" s="390"/>
      <c r="F59" s="390"/>
      <c r="G59" s="385" t="str">
        <f>'[1]GASTOS MATRIZ'!F56</f>
        <v>Servicios Básicos</v>
      </c>
      <c r="H59" s="382">
        <f aca="true" t="shared" si="11" ref="H59:M59">SUM(H60:H61)</f>
        <v>0</v>
      </c>
      <c r="I59" s="382">
        <f t="shared" si="11"/>
        <v>0</v>
      </c>
      <c r="J59" s="382">
        <f t="shared" si="11"/>
        <v>0</v>
      </c>
      <c r="K59" s="382">
        <f t="shared" si="11"/>
        <v>0</v>
      </c>
      <c r="L59" s="382">
        <f t="shared" si="11"/>
        <v>0</v>
      </c>
      <c r="M59" s="382">
        <f t="shared" si="11"/>
        <v>0</v>
      </c>
      <c r="N59" s="382"/>
      <c r="O59" s="382">
        <f>SUM(E59:J59)</f>
        <v>0</v>
      </c>
      <c r="P59" s="382"/>
      <c r="Q59" s="382"/>
      <c r="R59" s="382"/>
      <c r="S59" s="382"/>
      <c r="T59" s="382">
        <f>SUM(K59:P59)</f>
        <v>0</v>
      </c>
      <c r="U59" s="382">
        <f>SUM(U60:U61)</f>
        <v>0</v>
      </c>
      <c r="V59" s="382">
        <f>SUM(V60:V61)</f>
        <v>0</v>
      </c>
      <c r="W59" s="382">
        <f>SUM(W60:W61)</f>
        <v>0</v>
      </c>
      <c r="X59" s="382">
        <f>SUM(X60:X61)</f>
        <v>0</v>
      </c>
      <c r="Y59" s="382">
        <f>SUM(U59:X59)</f>
        <v>0</v>
      </c>
      <c r="Z59" s="382">
        <f t="shared" si="2"/>
        <v>0</v>
      </c>
      <c r="AA59" s="382">
        <f>SUM(AA60:AA61)</f>
        <v>0</v>
      </c>
      <c r="AB59" s="382">
        <f>SUM(AB60:AB61)</f>
        <v>0</v>
      </c>
      <c r="AC59" s="382">
        <f>SUM(AC60:AC61)</f>
        <v>0</v>
      </c>
      <c r="AD59" s="382">
        <f>SUM(AD60:AD61)</f>
        <v>0</v>
      </c>
      <c r="AE59" s="382">
        <f>SUM(AA59:AD59)</f>
        <v>0</v>
      </c>
      <c r="AF59" s="382">
        <f t="shared" si="8"/>
        <v>0</v>
      </c>
      <c r="AG59" s="382">
        <f>SUM(AG60:AG61)</f>
        <v>0</v>
      </c>
      <c r="AH59" s="382">
        <f>SUM(AH60:AH61)</f>
        <v>0</v>
      </c>
      <c r="AI59" s="382">
        <f>SUM(AI60:AI61)</f>
        <v>0</v>
      </c>
    </row>
    <row r="60" spans="2:35" ht="15" customHeight="1" hidden="1">
      <c r="B60" s="386"/>
      <c r="C60" s="386"/>
      <c r="D60" s="386"/>
      <c r="E60" s="387"/>
      <c r="F60" s="387"/>
      <c r="G60" s="388"/>
      <c r="H60" s="389"/>
      <c r="I60" s="389"/>
      <c r="J60" s="389"/>
      <c r="K60" s="389"/>
      <c r="L60" s="389"/>
      <c r="M60" s="389"/>
      <c r="N60" s="389"/>
      <c r="O60" s="389"/>
      <c r="P60" s="389"/>
      <c r="Q60" s="389"/>
      <c r="R60" s="389"/>
      <c r="S60" s="389"/>
      <c r="T60" s="389"/>
      <c r="U60" s="389"/>
      <c r="V60" s="389"/>
      <c r="W60" s="389"/>
      <c r="X60" s="389"/>
      <c r="Y60" s="389"/>
      <c r="Z60" s="389">
        <f t="shared" si="2"/>
        <v>0</v>
      </c>
      <c r="AA60" s="389"/>
      <c r="AB60" s="389"/>
      <c r="AC60" s="389"/>
      <c r="AD60" s="389"/>
      <c r="AE60" s="389"/>
      <c r="AF60" s="389">
        <f t="shared" si="8"/>
        <v>0</v>
      </c>
      <c r="AG60" s="389"/>
      <c r="AH60" s="389"/>
      <c r="AI60" s="389"/>
    </row>
    <row r="61" spans="2:35" ht="15" customHeight="1" hidden="1">
      <c r="B61" s="386"/>
      <c r="C61" s="386"/>
      <c r="D61" s="386"/>
      <c r="E61" s="387"/>
      <c r="F61" s="387"/>
      <c r="G61" s="388"/>
      <c r="H61" s="389"/>
      <c r="I61" s="389"/>
      <c r="J61" s="389"/>
      <c r="K61" s="389"/>
      <c r="L61" s="389"/>
      <c r="M61" s="389"/>
      <c r="N61" s="389"/>
      <c r="O61" s="389"/>
      <c r="P61" s="389"/>
      <c r="Q61" s="389"/>
      <c r="R61" s="389"/>
      <c r="S61" s="389"/>
      <c r="T61" s="389"/>
      <c r="U61" s="389"/>
      <c r="V61" s="389"/>
      <c r="W61" s="389"/>
      <c r="X61" s="389"/>
      <c r="Y61" s="389"/>
      <c r="Z61" s="389">
        <f t="shared" si="2"/>
        <v>0</v>
      </c>
      <c r="AA61" s="389"/>
      <c r="AB61" s="389"/>
      <c r="AC61" s="389"/>
      <c r="AD61" s="389"/>
      <c r="AE61" s="389"/>
      <c r="AF61" s="389">
        <f t="shared" si="8"/>
        <v>0</v>
      </c>
      <c r="AG61" s="389"/>
      <c r="AH61" s="389"/>
      <c r="AI61" s="389"/>
    </row>
    <row r="62" spans="2:35" ht="15" customHeight="1" hidden="1">
      <c r="B62" s="381"/>
      <c r="C62" s="381">
        <f>'[1]GASTOS MATRIZ'!B59</f>
        <v>220</v>
      </c>
      <c r="D62" s="381"/>
      <c r="E62" s="390"/>
      <c r="F62" s="390"/>
      <c r="G62" s="385" t="str">
        <f>'[1]GASTOS MATRIZ'!F59</f>
        <v>Transporte y Almacenaje</v>
      </c>
      <c r="H62" s="382">
        <f aca="true" t="shared" si="12" ref="H62:M62">SUM(H63:H64)</f>
        <v>0</v>
      </c>
      <c r="I62" s="382">
        <f t="shared" si="12"/>
        <v>0</v>
      </c>
      <c r="J62" s="382">
        <f t="shared" si="12"/>
        <v>0</v>
      </c>
      <c r="K62" s="382">
        <f t="shared" si="12"/>
        <v>0</v>
      </c>
      <c r="L62" s="382">
        <f t="shared" si="12"/>
        <v>0</v>
      </c>
      <c r="M62" s="382">
        <f t="shared" si="12"/>
        <v>0</v>
      </c>
      <c r="N62" s="382"/>
      <c r="O62" s="382">
        <f>SUM(E62:J62)</f>
        <v>0</v>
      </c>
      <c r="P62" s="382"/>
      <c r="Q62" s="382"/>
      <c r="R62" s="382"/>
      <c r="S62" s="382"/>
      <c r="T62" s="382">
        <f>SUM(K62:P62)</f>
        <v>0</v>
      </c>
      <c r="U62" s="382">
        <f>SUM(U63:U64)</f>
        <v>0</v>
      </c>
      <c r="V62" s="382">
        <f>SUM(V63:V64)</f>
        <v>0</v>
      </c>
      <c r="W62" s="382">
        <f>SUM(W63:W64)</f>
        <v>0</v>
      </c>
      <c r="X62" s="382">
        <f>SUM(X63:X64)</f>
        <v>0</v>
      </c>
      <c r="Y62" s="382">
        <f>SUM(U62:X62)</f>
        <v>0</v>
      </c>
      <c r="Z62" s="382">
        <f t="shared" si="2"/>
        <v>0</v>
      </c>
      <c r="AA62" s="382">
        <f>SUM(AA63:AA64)</f>
        <v>0</v>
      </c>
      <c r="AB62" s="382">
        <f>SUM(AB63:AB64)</f>
        <v>0</v>
      </c>
      <c r="AC62" s="382">
        <f>SUM(AC63:AC64)</f>
        <v>0</v>
      </c>
      <c r="AD62" s="382">
        <f>SUM(AD63:AD64)</f>
        <v>0</v>
      </c>
      <c r="AE62" s="382">
        <f>SUM(AA62:AD62)</f>
        <v>0</v>
      </c>
      <c r="AF62" s="382">
        <f t="shared" si="8"/>
        <v>0</v>
      </c>
      <c r="AG62" s="382">
        <f>SUM(AG63:AG64)</f>
        <v>0</v>
      </c>
      <c r="AH62" s="382">
        <f>SUM(AH63:AH64)</f>
        <v>0</v>
      </c>
      <c r="AI62" s="382">
        <f>SUM(AI63:AI64)</f>
        <v>0</v>
      </c>
    </row>
    <row r="63" spans="2:35" ht="15" customHeight="1" hidden="1">
      <c r="B63" s="386"/>
      <c r="C63" s="386"/>
      <c r="D63" s="386"/>
      <c r="E63" s="387"/>
      <c r="F63" s="387"/>
      <c r="G63" s="388"/>
      <c r="H63" s="389"/>
      <c r="I63" s="389"/>
      <c r="J63" s="389"/>
      <c r="K63" s="389"/>
      <c r="L63" s="389"/>
      <c r="M63" s="389"/>
      <c r="N63" s="389"/>
      <c r="O63" s="389"/>
      <c r="P63" s="389"/>
      <c r="Q63" s="389"/>
      <c r="R63" s="389"/>
      <c r="S63" s="389"/>
      <c r="T63" s="389"/>
      <c r="U63" s="389"/>
      <c r="V63" s="389"/>
      <c r="W63" s="389"/>
      <c r="X63" s="389"/>
      <c r="Y63" s="389"/>
      <c r="Z63" s="389">
        <f t="shared" si="2"/>
        <v>0</v>
      </c>
      <c r="AA63" s="389"/>
      <c r="AB63" s="389"/>
      <c r="AC63" s="389"/>
      <c r="AD63" s="389"/>
      <c r="AE63" s="389"/>
      <c r="AF63" s="389">
        <f t="shared" si="8"/>
        <v>0</v>
      </c>
      <c r="AG63" s="389"/>
      <c r="AH63" s="389"/>
      <c r="AI63" s="389"/>
    </row>
    <row r="64" spans="2:35" ht="15" customHeight="1" hidden="1">
      <c r="B64" s="386"/>
      <c r="C64" s="386"/>
      <c r="D64" s="386"/>
      <c r="E64" s="387"/>
      <c r="F64" s="387"/>
      <c r="G64" s="388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89"/>
      <c r="U64" s="389"/>
      <c r="V64" s="389"/>
      <c r="W64" s="389"/>
      <c r="X64" s="389"/>
      <c r="Y64" s="389"/>
      <c r="Z64" s="389">
        <f t="shared" si="2"/>
        <v>0</v>
      </c>
      <c r="AA64" s="389"/>
      <c r="AB64" s="389"/>
      <c r="AC64" s="389"/>
      <c r="AD64" s="389"/>
      <c r="AE64" s="389"/>
      <c r="AF64" s="389">
        <f t="shared" si="8"/>
        <v>0</v>
      </c>
      <c r="AG64" s="389"/>
      <c r="AH64" s="389"/>
      <c r="AI64" s="389"/>
    </row>
    <row r="65" spans="2:35" ht="15" customHeight="1" hidden="1">
      <c r="B65" s="383"/>
      <c r="C65" s="383">
        <f>'[1]GASTOS MATRIZ'!B62</f>
        <v>230</v>
      </c>
      <c r="D65" s="381"/>
      <c r="E65" s="383"/>
      <c r="F65" s="383"/>
      <c r="G65" s="383" t="str">
        <f>'[1]GASTOS MATRIZ'!F62</f>
        <v>Pasajes y Viáticos</v>
      </c>
      <c r="H65" s="382">
        <f aca="true" t="shared" si="13" ref="H65:M65">SUM(H66:H67)</f>
        <v>0</v>
      </c>
      <c r="I65" s="382">
        <f t="shared" si="13"/>
        <v>0</v>
      </c>
      <c r="J65" s="382">
        <f t="shared" si="13"/>
        <v>0</v>
      </c>
      <c r="K65" s="382">
        <f t="shared" si="13"/>
        <v>0</v>
      </c>
      <c r="L65" s="382">
        <f t="shared" si="13"/>
        <v>0</v>
      </c>
      <c r="M65" s="382">
        <f t="shared" si="13"/>
        <v>0</v>
      </c>
      <c r="N65" s="382"/>
      <c r="O65" s="382">
        <f>SUM(E65:J65)</f>
        <v>0</v>
      </c>
      <c r="P65" s="382"/>
      <c r="Q65" s="382"/>
      <c r="R65" s="382"/>
      <c r="S65" s="382"/>
      <c r="T65" s="382">
        <f>SUM(K65:P65)</f>
        <v>0</v>
      </c>
      <c r="U65" s="382">
        <f>SUM(U66:U67)</f>
        <v>0</v>
      </c>
      <c r="V65" s="382">
        <f>SUM(V66:V67)</f>
        <v>0</v>
      </c>
      <c r="W65" s="382">
        <f>SUM(W66:W67)</f>
        <v>0</v>
      </c>
      <c r="X65" s="382">
        <f>SUM(X66:X67)</f>
        <v>0</v>
      </c>
      <c r="Y65" s="382">
        <f>SUM(U65:X65)</f>
        <v>0</v>
      </c>
      <c r="Z65" s="382">
        <f t="shared" si="2"/>
        <v>0</v>
      </c>
      <c r="AA65" s="382">
        <f>SUM(AA66:AA67)</f>
        <v>0</v>
      </c>
      <c r="AB65" s="382">
        <f>SUM(AB66:AB67)</f>
        <v>0</v>
      </c>
      <c r="AC65" s="382">
        <f>SUM(AC66:AC67)</f>
        <v>0</v>
      </c>
      <c r="AD65" s="382">
        <f>SUM(AD66:AD67)</f>
        <v>0</v>
      </c>
      <c r="AE65" s="382">
        <f>SUM(AA65:AD65)</f>
        <v>0</v>
      </c>
      <c r="AF65" s="382">
        <f t="shared" si="8"/>
        <v>0</v>
      </c>
      <c r="AG65" s="382">
        <f>SUM(AG66:AG67)</f>
        <v>0</v>
      </c>
      <c r="AH65" s="382">
        <f>SUM(AH66:AH67)</f>
        <v>0</v>
      </c>
      <c r="AI65" s="382">
        <f>SUM(AI66:AI67)</f>
        <v>0</v>
      </c>
    </row>
    <row r="66" spans="2:35" ht="15" customHeight="1" hidden="1">
      <c r="B66" s="391"/>
      <c r="C66" s="391"/>
      <c r="D66" s="386"/>
      <c r="E66" s="387"/>
      <c r="F66" s="387"/>
      <c r="G66" s="391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89"/>
      <c r="U66" s="389"/>
      <c r="V66" s="389"/>
      <c r="W66" s="389"/>
      <c r="X66" s="389"/>
      <c r="Y66" s="389"/>
      <c r="Z66" s="389">
        <f t="shared" si="2"/>
        <v>0</v>
      </c>
      <c r="AA66" s="389"/>
      <c r="AB66" s="389"/>
      <c r="AC66" s="389"/>
      <c r="AD66" s="389"/>
      <c r="AE66" s="389"/>
      <c r="AF66" s="389">
        <f t="shared" si="8"/>
        <v>0</v>
      </c>
      <c r="AG66" s="389"/>
      <c r="AH66" s="389"/>
      <c r="AI66" s="389"/>
    </row>
    <row r="67" spans="2:35" ht="15" customHeight="1" hidden="1">
      <c r="B67" s="391"/>
      <c r="C67" s="391"/>
      <c r="D67" s="386"/>
      <c r="E67" s="387"/>
      <c r="F67" s="387"/>
      <c r="G67" s="391"/>
      <c r="H67" s="389"/>
      <c r="I67" s="389"/>
      <c r="J67" s="389"/>
      <c r="K67" s="389"/>
      <c r="L67" s="389"/>
      <c r="M67" s="389"/>
      <c r="N67" s="389"/>
      <c r="O67" s="389"/>
      <c r="P67" s="389"/>
      <c r="Q67" s="389"/>
      <c r="R67" s="389"/>
      <c r="S67" s="389"/>
      <c r="T67" s="389"/>
      <c r="U67" s="389"/>
      <c r="V67" s="389"/>
      <c r="W67" s="389"/>
      <c r="X67" s="389"/>
      <c r="Y67" s="389"/>
      <c r="Z67" s="389">
        <f t="shared" si="2"/>
        <v>0</v>
      </c>
      <c r="AA67" s="389"/>
      <c r="AB67" s="389"/>
      <c r="AC67" s="389"/>
      <c r="AD67" s="389"/>
      <c r="AE67" s="389"/>
      <c r="AF67" s="389">
        <f t="shared" si="8"/>
        <v>0</v>
      </c>
      <c r="AG67" s="389"/>
      <c r="AH67" s="389"/>
      <c r="AI67" s="389"/>
    </row>
    <row r="68" spans="2:35" ht="15" customHeight="1" hidden="1">
      <c r="B68" s="391"/>
      <c r="C68" s="391"/>
      <c r="D68" s="386"/>
      <c r="E68" s="387"/>
      <c r="F68" s="387"/>
      <c r="G68" s="391"/>
      <c r="H68" s="389"/>
      <c r="I68" s="389"/>
      <c r="J68" s="389"/>
      <c r="K68" s="389"/>
      <c r="L68" s="389"/>
      <c r="M68" s="389"/>
      <c r="N68" s="389"/>
      <c r="O68" s="389"/>
      <c r="P68" s="389"/>
      <c r="Q68" s="389"/>
      <c r="R68" s="389"/>
      <c r="S68" s="389"/>
      <c r="T68" s="389"/>
      <c r="U68" s="389"/>
      <c r="V68" s="389"/>
      <c r="W68" s="389"/>
      <c r="X68" s="389"/>
      <c r="Y68" s="389"/>
      <c r="Z68" s="389">
        <f t="shared" si="2"/>
        <v>0</v>
      </c>
      <c r="AA68" s="389"/>
      <c r="AB68" s="389"/>
      <c r="AC68" s="389"/>
      <c r="AD68" s="389"/>
      <c r="AE68" s="389"/>
      <c r="AF68" s="389">
        <f t="shared" si="8"/>
        <v>0</v>
      </c>
      <c r="AG68" s="389"/>
      <c r="AH68" s="389"/>
      <c r="AI68" s="389"/>
    </row>
    <row r="69" spans="2:35" ht="15" customHeight="1" hidden="1">
      <c r="B69" s="383"/>
      <c r="C69" s="383">
        <f>'[1]GASTOS MATRIZ'!B66</f>
        <v>240</v>
      </c>
      <c r="D69" s="381"/>
      <c r="E69" s="383"/>
      <c r="F69" s="383"/>
      <c r="G69" s="383" t="str">
        <f>'[1]GASTOS MATRIZ'!F66</f>
        <v>Gastos p/ Serv. de Aseo Mant. y Repar.</v>
      </c>
      <c r="H69" s="382">
        <f aca="true" t="shared" si="14" ref="H69:M69">SUM(H70:H73)</f>
        <v>0</v>
      </c>
      <c r="I69" s="382">
        <f t="shared" si="14"/>
        <v>0</v>
      </c>
      <c r="J69" s="382">
        <f t="shared" si="14"/>
        <v>0</v>
      </c>
      <c r="K69" s="382">
        <f t="shared" si="14"/>
        <v>0</v>
      </c>
      <c r="L69" s="382">
        <f t="shared" si="14"/>
        <v>0</v>
      </c>
      <c r="M69" s="382">
        <f t="shared" si="14"/>
        <v>0</v>
      </c>
      <c r="N69" s="382"/>
      <c r="O69" s="382">
        <f>SUM(E69:J69)</f>
        <v>0</v>
      </c>
      <c r="P69" s="382"/>
      <c r="Q69" s="382"/>
      <c r="R69" s="382"/>
      <c r="S69" s="382"/>
      <c r="T69" s="382">
        <f>SUM(K69:P69)</f>
        <v>0</v>
      </c>
      <c r="U69" s="382">
        <f>SUM(U70:U73)</f>
        <v>0</v>
      </c>
      <c r="V69" s="382">
        <f>SUM(V70:V73)</f>
        <v>0</v>
      </c>
      <c r="W69" s="382">
        <f>SUM(W70:W73)</f>
        <v>0</v>
      </c>
      <c r="X69" s="382">
        <f>SUM(X70:X73)</f>
        <v>0</v>
      </c>
      <c r="Y69" s="382">
        <f>SUM(U69:X69)</f>
        <v>0</v>
      </c>
      <c r="Z69" s="382">
        <f t="shared" si="2"/>
        <v>0</v>
      </c>
      <c r="AA69" s="382">
        <f>SUM(AA70:AA73)</f>
        <v>0</v>
      </c>
      <c r="AB69" s="382">
        <f>SUM(AB70:AB73)</f>
        <v>0</v>
      </c>
      <c r="AC69" s="382">
        <f>SUM(AC70:AC73)</f>
        <v>0</v>
      </c>
      <c r="AD69" s="382">
        <f>SUM(AD70:AD73)</f>
        <v>0</v>
      </c>
      <c r="AE69" s="382">
        <f>SUM(AA69:AD69)</f>
        <v>0</v>
      </c>
      <c r="AF69" s="382">
        <f t="shared" si="8"/>
        <v>0</v>
      </c>
      <c r="AG69" s="382">
        <f>SUM(AG70:AG73)</f>
        <v>0</v>
      </c>
      <c r="AH69" s="382">
        <f>SUM(AH70:AH73)</f>
        <v>0</v>
      </c>
      <c r="AI69" s="382">
        <f>SUM(AI70:AI73)</f>
        <v>0</v>
      </c>
    </row>
    <row r="70" spans="2:35" ht="30" customHeight="1" hidden="1">
      <c r="B70" s="391"/>
      <c r="C70" s="391"/>
      <c r="D70" s="386">
        <f>'[1]GASTOS MATRIZ'!C67</f>
        <v>240</v>
      </c>
      <c r="E70" s="387" t="str">
        <f>'[1]GASTOS MATRIZ'!D67</f>
        <v>30</v>
      </c>
      <c r="F70" s="387" t="str">
        <f>'[1]GASTOS MATRIZ'!E67</f>
        <v>011</v>
      </c>
      <c r="G70" s="392" t="str">
        <f>'[1]GASTOS MATRIZ'!F67</f>
        <v>Gastos por Servicios de Aseo, Mantenimiento  y Reparación</v>
      </c>
      <c r="H70" s="393">
        <f>'[1]GASTOS MATRIZ'!G67</f>
        <v>0</v>
      </c>
      <c r="I70" s="393">
        <f>'[1]GASTOS MATRIZ'!H67</f>
        <v>0</v>
      </c>
      <c r="J70" s="393">
        <f>H70+I70</f>
        <v>0</v>
      </c>
      <c r="K70" s="389">
        <f>'[1]RESU X MES'!H58</f>
        <v>0</v>
      </c>
      <c r="L70" s="389">
        <f>'[1]RESU X MES'!H316</f>
        <v>0</v>
      </c>
      <c r="M70" s="389">
        <f>'[1]RESU X MES'!H575</f>
        <v>0</v>
      </c>
      <c r="N70" s="389"/>
      <c r="O70" s="389">
        <f>SUM(E70:J70)</f>
        <v>0</v>
      </c>
      <c r="P70" s="389"/>
      <c r="Q70" s="389"/>
      <c r="R70" s="389"/>
      <c r="S70" s="389"/>
      <c r="T70" s="389">
        <f>SUM(K70:P70)</f>
        <v>0</v>
      </c>
      <c r="U70" s="389">
        <f>'[1]RESU X MES'!H1099</f>
        <v>0</v>
      </c>
      <c r="V70" s="389">
        <f>'[1]RESU X MES'!H1361</f>
        <v>0</v>
      </c>
      <c r="W70" s="389">
        <f>'[1]RESU X MES'!H1624</f>
        <v>0</v>
      </c>
      <c r="X70" s="389">
        <f>'[1]RESU X MES'!H1885</f>
        <v>0</v>
      </c>
      <c r="Y70" s="389">
        <f>SUM(U70:X70)</f>
        <v>0</v>
      </c>
      <c r="Z70" s="389">
        <f t="shared" si="2"/>
        <v>0</v>
      </c>
      <c r="AA70" s="389">
        <f>'[1]RESU X MES'!H2144</f>
        <v>0</v>
      </c>
      <c r="AB70" s="389">
        <f>'[1]RESU X MES'!H2406</f>
        <v>0</v>
      </c>
      <c r="AC70" s="389">
        <f>'[1]RESU X MES'!H2668</f>
        <v>0</v>
      </c>
      <c r="AD70" s="389">
        <f>'[1]RESU X MES'!H2931</f>
        <v>0</v>
      </c>
      <c r="AE70" s="389">
        <f>SUM(AA70:AD70)</f>
        <v>0</v>
      </c>
      <c r="AF70" s="389">
        <f t="shared" si="8"/>
        <v>0</v>
      </c>
      <c r="AG70" s="389">
        <f>J70-AF70</f>
        <v>0</v>
      </c>
      <c r="AH70" s="389">
        <f>AF70-AI70</f>
        <v>0</v>
      </c>
      <c r="AI70" s="389">
        <f>'[1]RESU X MES'!N58+'[1]RESU X MES'!N316+'[1]RESU X MES'!N575+'[1]RESU X MES'!N838+'[1]RESU X MES'!N1099+'[1]RESU X MES'!N1361+'[1]RESU X MES'!N1624+'[1]RESU X MES'!N1885+'[1]RESU X MES'!N2144+'[1]RESU X MES'!N2406+'[1]RESU X MES'!N2668+'[1]RESU X MES'!N2931</f>
        <v>0</v>
      </c>
    </row>
    <row r="71" spans="2:35" ht="15" customHeight="1" hidden="1">
      <c r="B71" s="391"/>
      <c r="C71" s="391"/>
      <c r="D71" s="386"/>
      <c r="E71" s="387"/>
      <c r="F71" s="387"/>
      <c r="G71" s="392"/>
      <c r="H71" s="393"/>
      <c r="I71" s="393"/>
      <c r="J71" s="393"/>
      <c r="K71" s="389"/>
      <c r="L71" s="389"/>
      <c r="M71" s="389"/>
      <c r="N71" s="389"/>
      <c r="O71" s="389"/>
      <c r="P71" s="389"/>
      <c r="Q71" s="389"/>
      <c r="R71" s="389"/>
      <c r="S71" s="389"/>
      <c r="T71" s="389"/>
      <c r="U71" s="389"/>
      <c r="V71" s="389"/>
      <c r="W71" s="389"/>
      <c r="X71" s="389"/>
      <c r="Y71" s="389"/>
      <c r="Z71" s="389">
        <f t="shared" si="2"/>
        <v>0</v>
      </c>
      <c r="AA71" s="389"/>
      <c r="AB71" s="389"/>
      <c r="AC71" s="389"/>
      <c r="AD71" s="389"/>
      <c r="AE71" s="389"/>
      <c r="AF71" s="389">
        <f t="shared" si="8"/>
        <v>0</v>
      </c>
      <c r="AG71" s="389"/>
      <c r="AH71" s="389"/>
      <c r="AI71" s="389"/>
    </row>
    <row r="72" spans="2:35" ht="15" customHeight="1" hidden="1">
      <c r="B72" s="391"/>
      <c r="C72" s="391"/>
      <c r="D72" s="386"/>
      <c r="E72" s="387"/>
      <c r="F72" s="387"/>
      <c r="G72" s="392"/>
      <c r="H72" s="393"/>
      <c r="I72" s="393"/>
      <c r="J72" s="393"/>
      <c r="K72" s="389"/>
      <c r="L72" s="389"/>
      <c r="M72" s="389"/>
      <c r="N72" s="389"/>
      <c r="O72" s="389"/>
      <c r="P72" s="389"/>
      <c r="Q72" s="389"/>
      <c r="R72" s="389"/>
      <c r="S72" s="389"/>
      <c r="T72" s="389"/>
      <c r="U72" s="389"/>
      <c r="V72" s="389"/>
      <c r="W72" s="389"/>
      <c r="X72" s="389"/>
      <c r="Y72" s="389"/>
      <c r="Z72" s="389">
        <f t="shared" si="2"/>
        <v>0</v>
      </c>
      <c r="AA72" s="389"/>
      <c r="AB72" s="389"/>
      <c r="AC72" s="389"/>
      <c r="AD72" s="389"/>
      <c r="AE72" s="389"/>
      <c r="AF72" s="389">
        <f t="shared" si="8"/>
        <v>0</v>
      </c>
      <c r="AG72" s="389"/>
      <c r="AH72" s="389"/>
      <c r="AI72" s="389"/>
    </row>
    <row r="73" spans="2:35" ht="15" customHeight="1" hidden="1">
      <c r="B73" s="391"/>
      <c r="C73" s="391"/>
      <c r="D73" s="386"/>
      <c r="E73" s="387"/>
      <c r="F73" s="387"/>
      <c r="G73" s="392"/>
      <c r="H73" s="393"/>
      <c r="I73" s="393"/>
      <c r="J73" s="393"/>
      <c r="K73" s="389"/>
      <c r="L73" s="389"/>
      <c r="M73" s="389"/>
      <c r="N73" s="389"/>
      <c r="O73" s="389"/>
      <c r="P73" s="389"/>
      <c r="Q73" s="389"/>
      <c r="R73" s="389"/>
      <c r="S73" s="389"/>
      <c r="T73" s="389"/>
      <c r="U73" s="389"/>
      <c r="V73" s="389"/>
      <c r="W73" s="389"/>
      <c r="X73" s="389"/>
      <c r="Y73" s="389"/>
      <c r="Z73" s="389">
        <f t="shared" si="2"/>
        <v>0</v>
      </c>
      <c r="AA73" s="389"/>
      <c r="AB73" s="389"/>
      <c r="AC73" s="389"/>
      <c r="AD73" s="389"/>
      <c r="AE73" s="389"/>
      <c r="AF73" s="389">
        <f t="shared" si="8"/>
        <v>0</v>
      </c>
      <c r="AG73" s="389"/>
      <c r="AH73" s="389"/>
      <c r="AI73" s="389"/>
    </row>
    <row r="74" spans="2:35" ht="15" customHeight="1" hidden="1">
      <c r="B74" s="391"/>
      <c r="C74" s="391"/>
      <c r="D74" s="386"/>
      <c r="E74" s="391"/>
      <c r="F74" s="391"/>
      <c r="G74" s="391"/>
      <c r="H74" s="389"/>
      <c r="I74" s="389"/>
      <c r="J74" s="389"/>
      <c r="K74" s="389"/>
      <c r="L74" s="389"/>
      <c r="M74" s="389"/>
      <c r="N74" s="389"/>
      <c r="O74" s="389"/>
      <c r="P74" s="389"/>
      <c r="Q74" s="389"/>
      <c r="R74" s="389"/>
      <c r="S74" s="389"/>
      <c r="T74" s="389"/>
      <c r="U74" s="389"/>
      <c r="V74" s="389"/>
      <c r="W74" s="389"/>
      <c r="X74" s="389"/>
      <c r="Y74" s="389"/>
      <c r="Z74" s="389">
        <f t="shared" si="2"/>
        <v>0</v>
      </c>
      <c r="AA74" s="389"/>
      <c r="AB74" s="389"/>
      <c r="AC74" s="389"/>
      <c r="AD74" s="389"/>
      <c r="AE74" s="389"/>
      <c r="AF74" s="389">
        <f t="shared" si="8"/>
        <v>0</v>
      </c>
      <c r="AG74" s="389"/>
      <c r="AH74" s="389"/>
      <c r="AI74" s="389"/>
    </row>
    <row r="75" spans="2:35" ht="15" customHeight="1" hidden="1">
      <c r="B75" s="383"/>
      <c r="C75" s="383">
        <f>'[1]GASTOS MATRIZ'!B72</f>
        <v>250</v>
      </c>
      <c r="D75" s="381"/>
      <c r="E75" s="383"/>
      <c r="F75" s="383"/>
      <c r="G75" s="383" t="str">
        <f>'[1]GASTOS MATRIZ'!F72</f>
        <v>Alquileres y Derechos</v>
      </c>
      <c r="H75" s="382">
        <f aca="true" t="shared" si="15" ref="H75:M75">SUM(H76:H78)</f>
        <v>0</v>
      </c>
      <c r="I75" s="382">
        <f t="shared" si="15"/>
        <v>0</v>
      </c>
      <c r="J75" s="382">
        <f t="shared" si="15"/>
        <v>0</v>
      </c>
      <c r="K75" s="382">
        <f t="shared" si="15"/>
        <v>0</v>
      </c>
      <c r="L75" s="382">
        <f t="shared" si="15"/>
        <v>0</v>
      </c>
      <c r="M75" s="382">
        <f t="shared" si="15"/>
        <v>0</v>
      </c>
      <c r="N75" s="382"/>
      <c r="O75" s="382">
        <f>SUM(E75:J75)</f>
        <v>0</v>
      </c>
      <c r="P75" s="382"/>
      <c r="Q75" s="382"/>
      <c r="R75" s="382"/>
      <c r="S75" s="382"/>
      <c r="T75" s="382">
        <f>SUM(K75:P75)</f>
        <v>0</v>
      </c>
      <c r="U75" s="382">
        <f>SUM(U76:U78)</f>
        <v>0</v>
      </c>
      <c r="V75" s="382">
        <f>SUM(V76:V78)</f>
        <v>0</v>
      </c>
      <c r="W75" s="382">
        <f>SUM(W76:W78)</f>
        <v>0</v>
      </c>
      <c r="X75" s="382">
        <f>SUM(X76:X78)</f>
        <v>0</v>
      </c>
      <c r="Y75" s="382">
        <f>SUM(U75:X75)</f>
        <v>0</v>
      </c>
      <c r="Z75" s="382">
        <f t="shared" si="2"/>
        <v>0</v>
      </c>
      <c r="AA75" s="382">
        <f>SUM(AA76:AA78)</f>
        <v>0</v>
      </c>
      <c r="AB75" s="382">
        <f>SUM(AB76:AB78)</f>
        <v>0</v>
      </c>
      <c r="AC75" s="382">
        <f>SUM(AC76:AC78)</f>
        <v>0</v>
      </c>
      <c r="AD75" s="382">
        <f>SUM(AD76:AD78)</f>
        <v>0</v>
      </c>
      <c r="AE75" s="382">
        <f>SUM(AA75:AD75)</f>
        <v>0</v>
      </c>
      <c r="AF75" s="382">
        <f t="shared" si="8"/>
        <v>0</v>
      </c>
      <c r="AG75" s="382">
        <f>SUM(AG76:AG78)</f>
        <v>0</v>
      </c>
      <c r="AH75" s="382">
        <f>SUM(AH76:AH78)</f>
        <v>0</v>
      </c>
      <c r="AI75" s="382">
        <f>SUM(AI76:AI78)</f>
        <v>0</v>
      </c>
    </row>
    <row r="76" spans="2:35" ht="15" customHeight="1" hidden="1">
      <c r="B76" s="391"/>
      <c r="C76" s="391"/>
      <c r="D76" s="386">
        <f>'[1]GASTOS MATRIZ'!C73</f>
        <v>250</v>
      </c>
      <c r="E76" s="387" t="str">
        <f>'[1]GASTOS MATRIZ'!D73</f>
        <v>30</v>
      </c>
      <c r="F76" s="387" t="str">
        <f>'[1]GASTOS MATRIZ'!E73</f>
        <v>011</v>
      </c>
      <c r="G76" s="391" t="str">
        <f>'[1]GASTOS MATRIZ'!F73</f>
        <v>Alquileres y Derechos</v>
      </c>
      <c r="H76" s="389">
        <f>'[1]GASTOS MATRIZ'!G73</f>
        <v>0</v>
      </c>
      <c r="I76" s="389">
        <f>'[1]GASTOS MATRIZ'!H73</f>
        <v>0</v>
      </c>
      <c r="J76" s="389">
        <f>H76+I76</f>
        <v>0</v>
      </c>
      <c r="K76" s="389">
        <f>'[1]RESU X MES'!H64</f>
        <v>0</v>
      </c>
      <c r="L76" s="389">
        <f>'[1]RESU X MES'!H322</f>
        <v>0</v>
      </c>
      <c r="M76" s="389">
        <f>'[1]RESU X MES'!H581</f>
        <v>0</v>
      </c>
      <c r="N76" s="389"/>
      <c r="O76" s="389">
        <f>SUM(E76:J76)</f>
        <v>0</v>
      </c>
      <c r="P76" s="389"/>
      <c r="Q76" s="389"/>
      <c r="R76" s="389"/>
      <c r="S76" s="389"/>
      <c r="T76" s="389">
        <f>SUM(K76:P76)</f>
        <v>0</v>
      </c>
      <c r="U76" s="389">
        <f>'[1]RESU X MES'!H1105</f>
        <v>0</v>
      </c>
      <c r="V76" s="389">
        <f>'[1]RESU X MES'!H1367</f>
        <v>0</v>
      </c>
      <c r="W76" s="389">
        <f>'[1]RESU X MES'!H1630</f>
        <v>0</v>
      </c>
      <c r="X76" s="389">
        <f>'[1]RESU X MES'!H1891</f>
        <v>0</v>
      </c>
      <c r="Y76" s="389">
        <f>SUM(U76:X76)</f>
        <v>0</v>
      </c>
      <c r="Z76" s="389">
        <f t="shared" si="2"/>
        <v>0</v>
      </c>
      <c r="AA76" s="389">
        <f>'[1]RESU X MES'!H2150</f>
        <v>0</v>
      </c>
      <c r="AB76" s="389">
        <f>'[1]RESU X MES'!H2412</f>
        <v>0</v>
      </c>
      <c r="AC76" s="389">
        <f>'[1]RESU X MES'!H2674</f>
        <v>0</v>
      </c>
      <c r="AD76" s="389">
        <f>'[1]RESU X MES'!H2937</f>
        <v>0</v>
      </c>
      <c r="AE76" s="389">
        <f>SUM(AA76:AD76)</f>
        <v>0</v>
      </c>
      <c r="AF76" s="389">
        <f t="shared" si="8"/>
        <v>0</v>
      </c>
      <c r="AG76" s="389">
        <f>J76-AF76</f>
        <v>0</v>
      </c>
      <c r="AH76" s="389">
        <f>AF76-AI76</f>
        <v>0</v>
      </c>
      <c r="AI76" s="389">
        <f>'[1]RESU X MES'!N64+'[1]RESU X MES'!N322+'[1]RESU X MES'!N581+'[1]RESU X MES'!N844+'[1]RESU X MES'!N1105+'[1]RESU X MES'!N1367+'[1]RESU X MES'!N1630+'[1]RESU X MES'!N1891+'[1]RESU X MES'!N2150+'[1]RESU X MES'!N2412+'[1]RESU X MES'!N2674+'[1]RESU X MES'!N2937</f>
        <v>0</v>
      </c>
    </row>
    <row r="77" spans="2:35" ht="15" customHeight="1" hidden="1">
      <c r="B77" s="391"/>
      <c r="C77" s="391"/>
      <c r="D77" s="386"/>
      <c r="E77" s="387"/>
      <c r="F77" s="387"/>
      <c r="G77" s="391"/>
      <c r="H77" s="389"/>
      <c r="I77" s="389"/>
      <c r="J77" s="389"/>
      <c r="K77" s="389"/>
      <c r="L77" s="389"/>
      <c r="M77" s="389"/>
      <c r="N77" s="389"/>
      <c r="O77" s="389"/>
      <c r="P77" s="389"/>
      <c r="Q77" s="389"/>
      <c r="R77" s="389"/>
      <c r="S77" s="389"/>
      <c r="T77" s="389"/>
      <c r="U77" s="389"/>
      <c r="V77" s="389"/>
      <c r="W77" s="389"/>
      <c r="X77" s="389"/>
      <c r="Y77" s="389"/>
      <c r="Z77" s="389">
        <f t="shared" si="2"/>
        <v>0</v>
      </c>
      <c r="AA77" s="389"/>
      <c r="AB77" s="389"/>
      <c r="AC77" s="389"/>
      <c r="AD77" s="389"/>
      <c r="AE77" s="389"/>
      <c r="AF77" s="389">
        <f t="shared" si="8"/>
        <v>0</v>
      </c>
      <c r="AG77" s="389"/>
      <c r="AH77" s="389"/>
      <c r="AI77" s="389"/>
    </row>
    <row r="78" spans="2:35" ht="15" customHeight="1" hidden="1">
      <c r="B78" s="391"/>
      <c r="C78" s="391"/>
      <c r="D78" s="386"/>
      <c r="E78" s="387"/>
      <c r="F78" s="387"/>
      <c r="G78" s="391"/>
      <c r="H78" s="389"/>
      <c r="I78" s="389"/>
      <c r="J78" s="389"/>
      <c r="K78" s="389"/>
      <c r="L78" s="389"/>
      <c r="M78" s="389"/>
      <c r="N78" s="389"/>
      <c r="O78" s="389"/>
      <c r="P78" s="389"/>
      <c r="Q78" s="389"/>
      <c r="R78" s="389"/>
      <c r="S78" s="389"/>
      <c r="T78" s="389"/>
      <c r="U78" s="389"/>
      <c r="V78" s="389"/>
      <c r="W78" s="389"/>
      <c r="X78" s="389"/>
      <c r="Y78" s="389"/>
      <c r="Z78" s="389">
        <f t="shared" si="2"/>
        <v>0</v>
      </c>
      <c r="AA78" s="389"/>
      <c r="AB78" s="389"/>
      <c r="AC78" s="389"/>
      <c r="AD78" s="389"/>
      <c r="AE78" s="389"/>
      <c r="AF78" s="389">
        <f t="shared" si="8"/>
        <v>0</v>
      </c>
      <c r="AG78" s="389"/>
      <c r="AH78" s="389"/>
      <c r="AI78" s="389"/>
    </row>
    <row r="79" spans="2:35" ht="15" customHeight="1" hidden="1">
      <c r="B79" s="383"/>
      <c r="C79" s="383">
        <f>'[1]GASTOS MATRIZ'!B76</f>
        <v>260</v>
      </c>
      <c r="D79" s="381"/>
      <c r="E79" s="383"/>
      <c r="F79" s="383"/>
      <c r="G79" s="383" t="str">
        <f>'[1]GASTOS MATRIZ'!F76</f>
        <v>Servicios Técnicos y Profesionales</v>
      </c>
      <c r="H79" s="382">
        <f aca="true" t="shared" si="16" ref="H79:M79">SUM(H80:H83)</f>
        <v>0</v>
      </c>
      <c r="I79" s="382">
        <f t="shared" si="16"/>
        <v>0</v>
      </c>
      <c r="J79" s="382">
        <f t="shared" si="16"/>
        <v>0</v>
      </c>
      <c r="K79" s="382">
        <f t="shared" si="16"/>
        <v>0</v>
      </c>
      <c r="L79" s="382">
        <f t="shared" si="16"/>
        <v>0</v>
      </c>
      <c r="M79" s="382">
        <f t="shared" si="16"/>
        <v>0</v>
      </c>
      <c r="N79" s="382"/>
      <c r="O79" s="382">
        <f>SUM(E79:J79)</f>
        <v>0</v>
      </c>
      <c r="P79" s="382"/>
      <c r="Q79" s="382"/>
      <c r="R79" s="382"/>
      <c r="S79" s="382"/>
      <c r="T79" s="382">
        <f>SUM(K79:P79)</f>
        <v>0</v>
      </c>
      <c r="U79" s="382">
        <f>SUM(U80:U83)</f>
        <v>0</v>
      </c>
      <c r="V79" s="382">
        <f>SUM(V80:V83)</f>
        <v>0</v>
      </c>
      <c r="W79" s="382">
        <f>SUM(W80:W83)</f>
        <v>0</v>
      </c>
      <c r="X79" s="382">
        <f>SUM(X80:X83)</f>
        <v>0</v>
      </c>
      <c r="Y79" s="382">
        <f>SUM(U79:X79)</f>
        <v>0</v>
      </c>
      <c r="Z79" s="382">
        <f t="shared" si="2"/>
        <v>0</v>
      </c>
      <c r="AA79" s="382">
        <f>SUM(AA80:AA83)</f>
        <v>0</v>
      </c>
      <c r="AB79" s="382">
        <f>SUM(AB80:AB83)</f>
        <v>0</v>
      </c>
      <c r="AC79" s="382">
        <f>SUM(AC80:AC83)</f>
        <v>0</v>
      </c>
      <c r="AD79" s="382">
        <f>SUM(AD80:AD83)</f>
        <v>0</v>
      </c>
      <c r="AE79" s="382">
        <f>SUM(AA79:AD79)</f>
        <v>0</v>
      </c>
      <c r="AF79" s="382">
        <f t="shared" si="8"/>
        <v>0</v>
      </c>
      <c r="AG79" s="382">
        <f>SUM(AG80:AG83)</f>
        <v>0</v>
      </c>
      <c r="AH79" s="382">
        <f>SUM(AH80:AH83)</f>
        <v>0</v>
      </c>
      <c r="AI79" s="382">
        <f>SUM(AI80:AI83)</f>
        <v>0</v>
      </c>
    </row>
    <row r="80" spans="2:35" ht="15" customHeight="1" hidden="1">
      <c r="B80" s="391"/>
      <c r="C80" s="391"/>
      <c r="D80" s="386">
        <f>'[1]GASTOS MATRIZ'!C77</f>
        <v>260</v>
      </c>
      <c r="E80" s="387" t="str">
        <f>'[1]GASTOS MATRIZ'!D77</f>
        <v>30</v>
      </c>
      <c r="F80" s="387" t="str">
        <f>'[1]GASTOS MATRIZ'!E77</f>
        <v>011</v>
      </c>
      <c r="G80" s="391" t="str">
        <f>'[1]GASTOS MATRIZ'!F77</f>
        <v>Servicios Técnicos y Profesionales</v>
      </c>
      <c r="H80" s="389">
        <f>'[1]GASTOS MATRIZ'!G77</f>
        <v>0</v>
      </c>
      <c r="I80" s="389">
        <f>'[1]GASTOS MATRIZ'!H77</f>
        <v>0</v>
      </c>
      <c r="J80" s="389">
        <f>H80+I80</f>
        <v>0</v>
      </c>
      <c r="K80" s="389">
        <f>'[1]RESU X MES'!H68</f>
        <v>0</v>
      </c>
      <c r="L80" s="389">
        <f>'[1]RESU X MES'!H326</f>
        <v>0</v>
      </c>
      <c r="M80" s="389">
        <f>'[1]RESU X MES'!H585</f>
        <v>0</v>
      </c>
      <c r="N80" s="389"/>
      <c r="O80" s="389">
        <f>SUM(E80:J80)</f>
        <v>0</v>
      </c>
      <c r="P80" s="389"/>
      <c r="Q80" s="389"/>
      <c r="R80" s="389"/>
      <c r="S80" s="389"/>
      <c r="T80" s="389">
        <f>SUM(K80:P80)</f>
        <v>0</v>
      </c>
      <c r="U80" s="389">
        <f>'[1]RESU X MES'!H1109</f>
        <v>0</v>
      </c>
      <c r="V80" s="389">
        <f>'[1]RESU X MES'!H1371</f>
        <v>0</v>
      </c>
      <c r="W80" s="389">
        <f>'[1]RESU X MES'!H1634</f>
        <v>0</v>
      </c>
      <c r="X80" s="389">
        <f>'[1]RESU X MES'!H1895</f>
        <v>0</v>
      </c>
      <c r="Y80" s="389">
        <f>SUM(U80:X80)</f>
        <v>0</v>
      </c>
      <c r="Z80" s="389">
        <f t="shared" si="2"/>
        <v>0</v>
      </c>
      <c r="AA80" s="389">
        <f>'[1]RESU X MES'!H2154</f>
        <v>0</v>
      </c>
      <c r="AB80" s="389">
        <f>'[1]RESU X MES'!H2416</f>
        <v>0</v>
      </c>
      <c r="AC80" s="389">
        <f>'[1]RESU X MES'!H2678</f>
        <v>0</v>
      </c>
      <c r="AD80" s="389">
        <f>'[1]RESU X MES'!H2941</f>
        <v>0</v>
      </c>
      <c r="AE80" s="389">
        <f>SUM(AA80:AD80)</f>
        <v>0</v>
      </c>
      <c r="AF80" s="389">
        <f t="shared" si="8"/>
        <v>0</v>
      </c>
      <c r="AG80" s="389">
        <f>J80-AF80</f>
        <v>0</v>
      </c>
      <c r="AH80" s="389">
        <f>AF80-AI80</f>
        <v>0</v>
      </c>
      <c r="AI80" s="389">
        <f>'[1]RESU X MES'!N68+'[1]RESU X MES'!N326+'[1]RESU X MES'!N585+'[1]RESU X MES'!N848+'[1]RESU X MES'!N1109+'[1]RESU X MES'!N1371+'[1]RESU X MES'!N1634+'[1]RESU X MES'!N1895+'[1]RESU X MES'!N2154+'[1]RESU X MES'!N2416+'[1]RESU X MES'!N2678+'[1]RESU X MES'!N2941</f>
        <v>0</v>
      </c>
    </row>
    <row r="81" spans="2:35" ht="15" customHeight="1" hidden="1">
      <c r="B81" s="391"/>
      <c r="C81" s="391"/>
      <c r="D81" s="386"/>
      <c r="E81" s="387"/>
      <c r="F81" s="387"/>
      <c r="G81" s="391"/>
      <c r="H81" s="389"/>
      <c r="I81" s="389"/>
      <c r="J81" s="389"/>
      <c r="K81" s="389"/>
      <c r="L81" s="389"/>
      <c r="M81" s="389"/>
      <c r="N81" s="389"/>
      <c r="O81" s="389"/>
      <c r="P81" s="389"/>
      <c r="Q81" s="389"/>
      <c r="R81" s="389"/>
      <c r="S81" s="389"/>
      <c r="T81" s="389"/>
      <c r="U81" s="389"/>
      <c r="V81" s="389"/>
      <c r="W81" s="389"/>
      <c r="X81" s="389"/>
      <c r="Y81" s="389"/>
      <c r="Z81" s="389">
        <f t="shared" si="2"/>
        <v>0</v>
      </c>
      <c r="AA81" s="389"/>
      <c r="AB81" s="389"/>
      <c r="AC81" s="389"/>
      <c r="AD81" s="389"/>
      <c r="AE81" s="389"/>
      <c r="AF81" s="389">
        <f t="shared" si="8"/>
        <v>0</v>
      </c>
      <c r="AG81" s="389"/>
      <c r="AH81" s="389"/>
      <c r="AI81" s="389"/>
    </row>
    <row r="82" spans="2:35" ht="15" customHeight="1" hidden="1">
      <c r="B82" s="391"/>
      <c r="C82" s="391"/>
      <c r="D82" s="386"/>
      <c r="E82" s="387"/>
      <c r="F82" s="387"/>
      <c r="G82" s="391"/>
      <c r="H82" s="389"/>
      <c r="I82" s="389"/>
      <c r="J82" s="389"/>
      <c r="K82" s="389"/>
      <c r="L82" s="389"/>
      <c r="M82" s="389"/>
      <c r="N82" s="389"/>
      <c r="O82" s="389"/>
      <c r="P82" s="389"/>
      <c r="Q82" s="389"/>
      <c r="R82" s="389"/>
      <c r="S82" s="389"/>
      <c r="T82" s="389"/>
      <c r="U82" s="389"/>
      <c r="V82" s="389"/>
      <c r="W82" s="389"/>
      <c r="X82" s="389"/>
      <c r="Y82" s="389"/>
      <c r="Z82" s="389">
        <f t="shared" si="2"/>
        <v>0</v>
      </c>
      <c r="AA82" s="389"/>
      <c r="AB82" s="389"/>
      <c r="AC82" s="389"/>
      <c r="AD82" s="389"/>
      <c r="AE82" s="389"/>
      <c r="AF82" s="389">
        <f t="shared" si="8"/>
        <v>0</v>
      </c>
      <c r="AG82" s="389"/>
      <c r="AH82" s="389"/>
      <c r="AI82" s="389"/>
    </row>
    <row r="83" spans="2:35" ht="15" customHeight="1" hidden="1">
      <c r="B83" s="391"/>
      <c r="C83" s="391"/>
      <c r="D83" s="386"/>
      <c r="E83" s="387"/>
      <c r="F83" s="387"/>
      <c r="G83" s="391"/>
      <c r="H83" s="389"/>
      <c r="I83" s="389"/>
      <c r="J83" s="389"/>
      <c r="K83" s="389"/>
      <c r="L83" s="389"/>
      <c r="M83" s="389"/>
      <c r="N83" s="389"/>
      <c r="O83" s="389"/>
      <c r="P83" s="389"/>
      <c r="Q83" s="389"/>
      <c r="R83" s="389"/>
      <c r="S83" s="389"/>
      <c r="T83" s="389"/>
      <c r="U83" s="389"/>
      <c r="V83" s="389"/>
      <c r="W83" s="389"/>
      <c r="X83" s="389"/>
      <c r="Y83" s="389"/>
      <c r="Z83" s="389">
        <f t="shared" si="2"/>
        <v>0</v>
      </c>
      <c r="AA83" s="389"/>
      <c r="AB83" s="389"/>
      <c r="AC83" s="389"/>
      <c r="AD83" s="389"/>
      <c r="AE83" s="389"/>
      <c r="AF83" s="389">
        <f t="shared" si="8"/>
        <v>0</v>
      </c>
      <c r="AG83" s="389"/>
      <c r="AH83" s="389"/>
      <c r="AI83" s="389"/>
    </row>
    <row r="84" spans="2:35" ht="15" customHeight="1" hidden="1">
      <c r="B84" s="383"/>
      <c r="C84" s="383">
        <f>'[1]GASTOS MATRIZ'!B81</f>
        <v>270</v>
      </c>
      <c r="D84" s="381"/>
      <c r="E84" s="390"/>
      <c r="F84" s="390"/>
      <c r="G84" s="383" t="str">
        <f>'[1]GASTOS MATRIZ'!F81</f>
        <v>Servicio Social</v>
      </c>
      <c r="H84" s="382">
        <f aca="true" t="shared" si="17" ref="H84:M84">SUM(H85:H89)</f>
        <v>0</v>
      </c>
      <c r="I84" s="382">
        <f t="shared" si="17"/>
        <v>0</v>
      </c>
      <c r="J84" s="382">
        <f t="shared" si="17"/>
        <v>0</v>
      </c>
      <c r="K84" s="382">
        <f t="shared" si="17"/>
        <v>0</v>
      </c>
      <c r="L84" s="382">
        <f t="shared" si="17"/>
        <v>0</v>
      </c>
      <c r="M84" s="382">
        <f t="shared" si="17"/>
        <v>0</v>
      </c>
      <c r="N84" s="382"/>
      <c r="O84" s="382">
        <f>SUM(E84:J84)</f>
        <v>0</v>
      </c>
      <c r="P84" s="382"/>
      <c r="Q84" s="382"/>
      <c r="R84" s="382"/>
      <c r="S84" s="382"/>
      <c r="T84" s="382">
        <f>SUM(K84:P84)</f>
        <v>0</v>
      </c>
      <c r="U84" s="382">
        <f>SUM(U85:U89)</f>
        <v>0</v>
      </c>
      <c r="V84" s="382">
        <f>SUM(V85:V89)</f>
        <v>0</v>
      </c>
      <c r="W84" s="382">
        <f>SUM(W85:W89)</f>
        <v>0</v>
      </c>
      <c r="X84" s="382">
        <f>SUM(X85:X89)</f>
        <v>0</v>
      </c>
      <c r="Y84" s="382">
        <f>SUM(U84:X84)</f>
        <v>0</v>
      </c>
      <c r="Z84" s="382">
        <f t="shared" si="2"/>
        <v>0</v>
      </c>
      <c r="AA84" s="382">
        <f>SUM(AA85:AA89)</f>
        <v>0</v>
      </c>
      <c r="AB84" s="382">
        <f>SUM(AB85:AB89)</f>
        <v>0</v>
      </c>
      <c r="AC84" s="382">
        <f>SUM(AC85:AC89)</f>
        <v>0</v>
      </c>
      <c r="AD84" s="382">
        <f>SUM(AD85:AD89)</f>
        <v>0</v>
      </c>
      <c r="AE84" s="382">
        <f>SUM(AA84:AD84)</f>
        <v>0</v>
      </c>
      <c r="AF84" s="382">
        <f t="shared" si="8"/>
        <v>0</v>
      </c>
      <c r="AG84" s="382">
        <f>SUM(AG85:AG89)</f>
        <v>0</v>
      </c>
      <c r="AH84" s="382">
        <f>SUM(AH85:AH89)</f>
        <v>0</v>
      </c>
      <c r="AI84" s="382">
        <f>SUM(AI85:AI89)</f>
        <v>0</v>
      </c>
    </row>
    <row r="85" spans="2:35" ht="15" customHeight="1" hidden="1">
      <c r="B85" s="391"/>
      <c r="C85" s="391"/>
      <c r="D85" s="386">
        <f>'[1]GASTOS MATRIZ'!C82</f>
        <v>270</v>
      </c>
      <c r="E85" s="387" t="str">
        <f>'[1]GASTOS MATRIZ'!D82</f>
        <v>30</v>
      </c>
      <c r="F85" s="387" t="str">
        <f>'[1]GASTOS MATRIZ'!E82</f>
        <v>011</v>
      </c>
      <c r="G85" s="391" t="str">
        <f>'[1]GASTOS MATRIZ'!F82</f>
        <v>Servicio Social</v>
      </c>
      <c r="H85" s="389">
        <f>'[1]GASTOS MATRIZ'!G82</f>
        <v>0</v>
      </c>
      <c r="I85" s="389">
        <f>'[1]GASTOS MATRIZ'!H82</f>
        <v>0</v>
      </c>
      <c r="J85" s="389">
        <f>H85+I85</f>
        <v>0</v>
      </c>
      <c r="K85" s="389">
        <f>'[1]RESU X MES'!H73</f>
        <v>0</v>
      </c>
      <c r="L85" s="389">
        <f>'[1]RESU X MES'!H331</f>
        <v>0</v>
      </c>
      <c r="M85" s="389">
        <f>'[1]RESU X MES'!H590</f>
        <v>0</v>
      </c>
      <c r="N85" s="389"/>
      <c r="O85" s="389">
        <f>SUM(E85:J85)</f>
        <v>0</v>
      </c>
      <c r="P85" s="389"/>
      <c r="Q85" s="389"/>
      <c r="R85" s="389"/>
      <c r="S85" s="389"/>
      <c r="T85" s="389">
        <f>SUM(K85:P85)</f>
        <v>0</v>
      </c>
      <c r="U85" s="389">
        <f>'[1]RESU X MES'!H1114</f>
        <v>0</v>
      </c>
      <c r="V85" s="389">
        <f>'[1]RESU X MES'!H1376</f>
        <v>0</v>
      </c>
      <c r="W85" s="389">
        <f>'[1]RESU X MES'!H1639</f>
        <v>0</v>
      </c>
      <c r="X85" s="389">
        <f>'[1]RESU X MES'!H1900</f>
        <v>0</v>
      </c>
      <c r="Y85" s="389">
        <f>SUM(U85:X85)</f>
        <v>0</v>
      </c>
      <c r="Z85" s="389">
        <f aca="true" t="shared" si="18" ref="Z85:Z151">T85+Y85</f>
        <v>0</v>
      </c>
      <c r="AA85" s="389">
        <f>'[1]RESU X MES'!H2159</f>
        <v>0</v>
      </c>
      <c r="AB85" s="389">
        <f>'[1]RESU X MES'!H2421</f>
        <v>0</v>
      </c>
      <c r="AC85" s="389">
        <f>'[1]RESU X MES'!H2683</f>
        <v>0</v>
      </c>
      <c r="AD85" s="389">
        <f>'[1]RESU X MES'!H2946</f>
        <v>0</v>
      </c>
      <c r="AE85" s="389">
        <f>SUM(AA85:AD85)</f>
        <v>0</v>
      </c>
      <c r="AF85" s="389">
        <f t="shared" si="8"/>
        <v>0</v>
      </c>
      <c r="AG85" s="389">
        <f>J85-AF85</f>
        <v>0</v>
      </c>
      <c r="AH85" s="389">
        <f>AF85-AI85</f>
        <v>0</v>
      </c>
      <c r="AI85" s="389">
        <f>'[1]RESU X MES'!N73+'[1]RESU X MES'!N331+'[1]RESU X MES'!N590+'[1]RESU X MES'!N853+'[1]RESU X MES'!N1114+'[1]RESU X MES'!N1376+'[1]RESU X MES'!N1639+'[1]RESU X MES'!N1900+'[1]RESU X MES'!N2159+'[1]RESU X MES'!N2421+'[1]RESU X MES'!N2683+'[1]RESU X MES'!N2946</f>
        <v>0</v>
      </c>
    </row>
    <row r="86" spans="2:35" ht="15" customHeight="1" hidden="1">
      <c r="B86" s="391"/>
      <c r="C86" s="391"/>
      <c r="D86" s="386"/>
      <c r="E86" s="387"/>
      <c r="F86" s="387"/>
      <c r="G86" s="391"/>
      <c r="H86" s="389"/>
      <c r="I86" s="389"/>
      <c r="J86" s="389"/>
      <c r="K86" s="389"/>
      <c r="L86" s="389"/>
      <c r="M86" s="389"/>
      <c r="N86" s="389"/>
      <c r="O86" s="389"/>
      <c r="P86" s="389"/>
      <c r="Q86" s="389"/>
      <c r="R86" s="389"/>
      <c r="S86" s="389"/>
      <c r="T86" s="389"/>
      <c r="U86" s="389"/>
      <c r="V86" s="389"/>
      <c r="W86" s="389"/>
      <c r="X86" s="389"/>
      <c r="Y86" s="389"/>
      <c r="Z86" s="389">
        <f t="shared" si="18"/>
        <v>0</v>
      </c>
      <c r="AA86" s="389"/>
      <c r="AB86" s="389"/>
      <c r="AC86" s="389"/>
      <c r="AD86" s="389"/>
      <c r="AE86" s="389"/>
      <c r="AF86" s="389">
        <f t="shared" si="8"/>
        <v>0</v>
      </c>
      <c r="AG86" s="389"/>
      <c r="AH86" s="389"/>
      <c r="AI86" s="389"/>
    </row>
    <row r="87" spans="2:35" ht="15" customHeight="1" hidden="1">
      <c r="B87" s="391"/>
      <c r="C87" s="391"/>
      <c r="D87" s="386"/>
      <c r="E87" s="387"/>
      <c r="F87" s="387"/>
      <c r="G87" s="391"/>
      <c r="H87" s="389"/>
      <c r="I87" s="389"/>
      <c r="J87" s="389"/>
      <c r="K87" s="389"/>
      <c r="L87" s="389"/>
      <c r="M87" s="389"/>
      <c r="N87" s="389"/>
      <c r="O87" s="389"/>
      <c r="P87" s="389"/>
      <c r="Q87" s="389"/>
      <c r="R87" s="389"/>
      <c r="S87" s="389"/>
      <c r="T87" s="389"/>
      <c r="U87" s="389"/>
      <c r="V87" s="389"/>
      <c r="W87" s="389"/>
      <c r="X87" s="389"/>
      <c r="Y87" s="389"/>
      <c r="Z87" s="389">
        <f t="shared" si="18"/>
        <v>0</v>
      </c>
      <c r="AA87" s="389"/>
      <c r="AB87" s="389"/>
      <c r="AC87" s="389"/>
      <c r="AD87" s="389"/>
      <c r="AE87" s="389"/>
      <c r="AF87" s="389">
        <f t="shared" si="8"/>
        <v>0</v>
      </c>
      <c r="AG87" s="389"/>
      <c r="AH87" s="389"/>
      <c r="AI87" s="389"/>
    </row>
    <row r="88" spans="2:35" ht="15" customHeight="1" hidden="1">
      <c r="B88" s="391"/>
      <c r="C88" s="391"/>
      <c r="D88" s="386"/>
      <c r="E88" s="387"/>
      <c r="F88" s="387"/>
      <c r="G88" s="391"/>
      <c r="H88" s="389"/>
      <c r="I88" s="389"/>
      <c r="J88" s="389"/>
      <c r="K88" s="389"/>
      <c r="L88" s="389"/>
      <c r="M88" s="389"/>
      <c r="N88" s="389"/>
      <c r="O88" s="389"/>
      <c r="P88" s="389"/>
      <c r="Q88" s="389"/>
      <c r="R88" s="389"/>
      <c r="S88" s="389"/>
      <c r="T88" s="389"/>
      <c r="U88" s="389"/>
      <c r="V88" s="389"/>
      <c r="W88" s="389"/>
      <c r="X88" s="389"/>
      <c r="Y88" s="389"/>
      <c r="Z88" s="389">
        <f t="shared" si="18"/>
        <v>0</v>
      </c>
      <c r="AA88" s="389"/>
      <c r="AB88" s="389"/>
      <c r="AC88" s="389"/>
      <c r="AD88" s="389"/>
      <c r="AE88" s="389"/>
      <c r="AF88" s="389">
        <f t="shared" si="8"/>
        <v>0</v>
      </c>
      <c r="AG88" s="389"/>
      <c r="AH88" s="389"/>
      <c r="AI88" s="389"/>
    </row>
    <row r="89" spans="2:35" ht="15" customHeight="1" hidden="1">
      <c r="B89" s="391"/>
      <c r="C89" s="391"/>
      <c r="D89" s="386"/>
      <c r="E89" s="387"/>
      <c r="F89" s="387"/>
      <c r="G89" s="391"/>
      <c r="H89" s="389"/>
      <c r="I89" s="389"/>
      <c r="J89" s="389"/>
      <c r="K89" s="389"/>
      <c r="L89" s="389"/>
      <c r="M89" s="389"/>
      <c r="N89" s="389"/>
      <c r="O89" s="389"/>
      <c r="P89" s="389"/>
      <c r="Q89" s="389"/>
      <c r="R89" s="389"/>
      <c r="S89" s="389"/>
      <c r="T89" s="389"/>
      <c r="U89" s="389"/>
      <c r="V89" s="389"/>
      <c r="W89" s="389"/>
      <c r="X89" s="389"/>
      <c r="Y89" s="389"/>
      <c r="Z89" s="389">
        <f t="shared" si="18"/>
        <v>0</v>
      </c>
      <c r="AA89" s="389"/>
      <c r="AB89" s="389"/>
      <c r="AC89" s="389"/>
      <c r="AD89" s="389"/>
      <c r="AE89" s="389"/>
      <c r="AF89" s="389">
        <f t="shared" si="8"/>
        <v>0</v>
      </c>
      <c r="AG89" s="389"/>
      <c r="AH89" s="389"/>
      <c r="AI89" s="389"/>
    </row>
    <row r="90" spans="2:35" ht="15" customHeight="1" hidden="1">
      <c r="B90" s="383"/>
      <c r="C90" s="383">
        <f>'[1]GASTOS MATRIZ'!B87</f>
        <v>280</v>
      </c>
      <c r="D90" s="381"/>
      <c r="E90" s="390"/>
      <c r="F90" s="390"/>
      <c r="G90" s="383" t="str">
        <f>'[1]GASTOS MATRIZ'!F87</f>
        <v>Otros Servicios Generales</v>
      </c>
      <c r="H90" s="382">
        <f aca="true" t="shared" si="19" ref="H90:M90">SUM(H91:H93)</f>
        <v>0</v>
      </c>
      <c r="I90" s="382">
        <f t="shared" si="19"/>
        <v>0</v>
      </c>
      <c r="J90" s="382">
        <f t="shared" si="19"/>
        <v>0</v>
      </c>
      <c r="K90" s="382">
        <f t="shared" si="19"/>
        <v>0</v>
      </c>
      <c r="L90" s="382">
        <f t="shared" si="19"/>
        <v>0</v>
      </c>
      <c r="M90" s="382">
        <f t="shared" si="19"/>
        <v>0</v>
      </c>
      <c r="N90" s="382"/>
      <c r="O90" s="382">
        <f>SUM(E90:J90)</f>
        <v>0</v>
      </c>
      <c r="P90" s="382"/>
      <c r="Q90" s="382"/>
      <c r="R90" s="382"/>
      <c r="S90" s="382"/>
      <c r="T90" s="382">
        <f>SUM(K90:P90)</f>
        <v>0</v>
      </c>
      <c r="U90" s="382">
        <f>SUM(U91:U93)</f>
        <v>0</v>
      </c>
      <c r="V90" s="382">
        <f>SUM(V91:V93)</f>
        <v>0</v>
      </c>
      <c r="W90" s="382">
        <f>SUM(W91:W93)</f>
        <v>0</v>
      </c>
      <c r="X90" s="382">
        <f>SUM(X91:X93)</f>
        <v>0</v>
      </c>
      <c r="Y90" s="382">
        <f>SUM(U90:X90)</f>
        <v>0</v>
      </c>
      <c r="Z90" s="382">
        <f t="shared" si="18"/>
        <v>0</v>
      </c>
      <c r="AA90" s="382">
        <f>SUM(AA91:AA93)</f>
        <v>0</v>
      </c>
      <c r="AB90" s="382">
        <f>SUM(AB91:AB93)</f>
        <v>0</v>
      </c>
      <c r="AC90" s="382">
        <f>SUM(AC91:AC93)</f>
        <v>0</v>
      </c>
      <c r="AD90" s="382">
        <f>SUM(AD91:AD93)</f>
        <v>0</v>
      </c>
      <c r="AE90" s="382">
        <f>SUM(AA90:AD90)</f>
        <v>0</v>
      </c>
      <c r="AF90" s="382">
        <f t="shared" si="8"/>
        <v>0</v>
      </c>
      <c r="AG90" s="382">
        <f>SUM(AG91:AG93)</f>
        <v>0</v>
      </c>
      <c r="AH90" s="382">
        <f>SUM(AH91:AH93)</f>
        <v>0</v>
      </c>
      <c r="AI90" s="382">
        <f>SUM(AI91:AI93)</f>
        <v>0</v>
      </c>
    </row>
    <row r="91" spans="2:35" ht="15" customHeight="1" hidden="1">
      <c r="B91" s="391"/>
      <c r="C91" s="391"/>
      <c r="D91" s="386">
        <f>'[1]GASTOS MATRIZ'!C88</f>
        <v>280</v>
      </c>
      <c r="E91" s="387" t="str">
        <f>'[1]GASTOS MATRIZ'!D88</f>
        <v>30</v>
      </c>
      <c r="F91" s="387" t="str">
        <f>'[1]GASTOS MATRIZ'!E88</f>
        <v>011</v>
      </c>
      <c r="G91" s="391" t="str">
        <f>'[1]GASTOS MATRIZ'!F88</f>
        <v>Otros Servicios Generales</v>
      </c>
      <c r="H91" s="389">
        <f>'[1]GASTOS MATRIZ'!G88</f>
        <v>0</v>
      </c>
      <c r="I91" s="389">
        <f>'[1]GASTOS MATRIZ'!H88</f>
        <v>0</v>
      </c>
      <c r="J91" s="389">
        <f>H91+I91</f>
        <v>0</v>
      </c>
      <c r="K91" s="389">
        <f>'[1]RESU X MES'!H79</f>
        <v>0</v>
      </c>
      <c r="L91" s="389">
        <f>'[1]RESU X MES'!H337</f>
        <v>0</v>
      </c>
      <c r="M91" s="389">
        <f>'[1]RESU X MES'!H596</f>
        <v>0</v>
      </c>
      <c r="N91" s="389"/>
      <c r="O91" s="389">
        <f>SUM(E91:J91)</f>
        <v>0</v>
      </c>
      <c r="P91" s="389"/>
      <c r="Q91" s="389"/>
      <c r="R91" s="389"/>
      <c r="S91" s="389"/>
      <c r="T91" s="389">
        <f>SUM(K91:P91)</f>
        <v>0</v>
      </c>
      <c r="U91" s="389">
        <f>'[1]RESU X MES'!H1120</f>
        <v>0</v>
      </c>
      <c r="V91" s="389">
        <f>'[1]RESU X MES'!H1382</f>
        <v>0</v>
      </c>
      <c r="W91" s="389">
        <f>'[1]RESU X MES'!H1645</f>
        <v>0</v>
      </c>
      <c r="X91" s="389">
        <f>'[1]RESU X MES'!H1906</f>
        <v>0</v>
      </c>
      <c r="Y91" s="389">
        <f>SUM(U91:X91)</f>
        <v>0</v>
      </c>
      <c r="Z91" s="389">
        <f t="shared" si="18"/>
        <v>0</v>
      </c>
      <c r="AA91" s="389">
        <f>'[1]RESU X MES'!H2165</f>
        <v>0</v>
      </c>
      <c r="AB91" s="389">
        <f>'[1]RESU X MES'!H2427</f>
        <v>0</v>
      </c>
      <c r="AC91" s="389">
        <f>'[1]RESU X MES'!H2689</f>
        <v>0</v>
      </c>
      <c r="AD91" s="389">
        <f>'[1]RESU X MES'!H2952</f>
        <v>0</v>
      </c>
      <c r="AE91" s="389">
        <f>SUM(AA91:AD91)</f>
        <v>0</v>
      </c>
      <c r="AF91" s="389">
        <f t="shared" si="8"/>
        <v>0</v>
      </c>
      <c r="AG91" s="389">
        <f>J91-AF91</f>
        <v>0</v>
      </c>
      <c r="AH91" s="389">
        <f>AF91-AI91</f>
        <v>0</v>
      </c>
      <c r="AI91" s="389">
        <f>'[1]RESU X MES'!N79+'[1]RESU X MES'!N337+'[1]RESU X MES'!N596+'[1]RESU X MES'!N859+'[1]RESU X MES'!N1120+'[1]RESU X MES'!N1382+'[1]RESU X MES'!N1645+'[1]RESU X MES'!N1906+'[1]RESU X MES'!N2165+'[1]RESU X MES'!N2427+'[1]RESU X MES'!N2689+'[1]RESU X MES'!N2952</f>
        <v>0</v>
      </c>
    </row>
    <row r="92" spans="2:35" ht="15" customHeight="1" hidden="1">
      <c r="B92" s="391"/>
      <c r="C92" s="391"/>
      <c r="D92" s="386"/>
      <c r="E92" s="387"/>
      <c r="F92" s="387"/>
      <c r="G92" s="391"/>
      <c r="H92" s="389"/>
      <c r="I92" s="389"/>
      <c r="J92" s="389"/>
      <c r="K92" s="389"/>
      <c r="L92" s="389"/>
      <c r="M92" s="389"/>
      <c r="N92" s="389"/>
      <c r="O92" s="389"/>
      <c r="P92" s="389"/>
      <c r="Q92" s="389"/>
      <c r="R92" s="389"/>
      <c r="S92" s="389"/>
      <c r="T92" s="389"/>
      <c r="U92" s="389"/>
      <c r="V92" s="389"/>
      <c r="W92" s="389"/>
      <c r="X92" s="389"/>
      <c r="Y92" s="389"/>
      <c r="Z92" s="389">
        <f t="shared" si="18"/>
        <v>0</v>
      </c>
      <c r="AA92" s="389"/>
      <c r="AB92" s="389"/>
      <c r="AC92" s="389"/>
      <c r="AD92" s="389"/>
      <c r="AE92" s="389"/>
      <c r="AF92" s="389">
        <f t="shared" si="8"/>
        <v>0</v>
      </c>
      <c r="AG92" s="389"/>
      <c r="AH92" s="389"/>
      <c r="AI92" s="389"/>
    </row>
    <row r="93" spans="2:35" ht="15" customHeight="1" hidden="1">
      <c r="B93" s="391"/>
      <c r="C93" s="391"/>
      <c r="D93" s="386"/>
      <c r="E93" s="387"/>
      <c r="F93" s="387"/>
      <c r="G93" s="391"/>
      <c r="H93" s="389"/>
      <c r="I93" s="389"/>
      <c r="J93" s="389"/>
      <c r="K93" s="389"/>
      <c r="L93" s="389"/>
      <c r="M93" s="389"/>
      <c r="N93" s="389"/>
      <c r="O93" s="389"/>
      <c r="P93" s="389"/>
      <c r="Q93" s="389"/>
      <c r="R93" s="389"/>
      <c r="S93" s="389"/>
      <c r="T93" s="389"/>
      <c r="U93" s="389"/>
      <c r="V93" s="389"/>
      <c r="W93" s="389"/>
      <c r="X93" s="389"/>
      <c r="Y93" s="389"/>
      <c r="Z93" s="389">
        <f t="shared" si="18"/>
        <v>0</v>
      </c>
      <c r="AA93" s="389"/>
      <c r="AB93" s="389"/>
      <c r="AC93" s="389"/>
      <c r="AD93" s="389"/>
      <c r="AE93" s="389"/>
      <c r="AF93" s="389">
        <f t="shared" si="8"/>
        <v>0</v>
      </c>
      <c r="AG93" s="389"/>
      <c r="AH93" s="389"/>
      <c r="AI93" s="389"/>
    </row>
    <row r="94" spans="2:35" ht="15" customHeight="1" hidden="1">
      <c r="B94" s="381"/>
      <c r="C94" s="381">
        <f>'[1]GASTOS MATRIZ'!B91</f>
        <v>290</v>
      </c>
      <c r="D94" s="381"/>
      <c r="E94" s="390"/>
      <c r="F94" s="390"/>
      <c r="G94" s="385" t="str">
        <f>'[1]GASTOS MATRIZ'!F91</f>
        <v>Servicios de Capacitación y Adiestramiento</v>
      </c>
      <c r="H94" s="382">
        <f aca="true" t="shared" si="20" ref="H94:M94">SUM(H95:H96)</f>
        <v>0</v>
      </c>
      <c r="I94" s="382">
        <f t="shared" si="20"/>
        <v>0</v>
      </c>
      <c r="J94" s="382">
        <f t="shared" si="20"/>
        <v>0</v>
      </c>
      <c r="K94" s="382">
        <f t="shared" si="20"/>
        <v>0</v>
      </c>
      <c r="L94" s="382">
        <f t="shared" si="20"/>
        <v>0</v>
      </c>
      <c r="M94" s="382">
        <f t="shared" si="20"/>
        <v>0</v>
      </c>
      <c r="N94" s="382"/>
      <c r="O94" s="382">
        <f>SUM(E94:J94)</f>
        <v>0</v>
      </c>
      <c r="P94" s="382"/>
      <c r="Q94" s="382"/>
      <c r="R94" s="382"/>
      <c r="S94" s="382"/>
      <c r="T94" s="382">
        <f>SUM(K94:P94)</f>
        <v>0</v>
      </c>
      <c r="U94" s="382">
        <f>SUM(U95:U96)</f>
        <v>0</v>
      </c>
      <c r="V94" s="382">
        <f>SUM(V95:V96)</f>
        <v>0</v>
      </c>
      <c r="W94" s="382">
        <f>SUM(W95:W96)</f>
        <v>0</v>
      </c>
      <c r="X94" s="382">
        <f>SUM(X95:X96)</f>
        <v>0</v>
      </c>
      <c r="Y94" s="382">
        <f>SUM(U94:X94)</f>
        <v>0</v>
      </c>
      <c r="Z94" s="382">
        <f t="shared" si="18"/>
        <v>0</v>
      </c>
      <c r="AA94" s="382">
        <f>SUM(AA95:AA96)</f>
        <v>0</v>
      </c>
      <c r="AB94" s="382">
        <f>SUM(AB95:AB96)</f>
        <v>0</v>
      </c>
      <c r="AC94" s="382">
        <f>SUM(AC95:AC96)</f>
        <v>0</v>
      </c>
      <c r="AD94" s="382">
        <f>SUM(AD95:AD96)</f>
        <v>0</v>
      </c>
      <c r="AE94" s="382">
        <f>SUM(AA94:AD94)</f>
        <v>0</v>
      </c>
      <c r="AF94" s="382">
        <f t="shared" si="8"/>
        <v>0</v>
      </c>
      <c r="AG94" s="382">
        <f>SUM(AG95:AG96)</f>
        <v>0</v>
      </c>
      <c r="AH94" s="382">
        <f>SUM(AH95:AH96)</f>
        <v>0</v>
      </c>
      <c r="AI94" s="382">
        <f>SUM(AI95:AI96)</f>
        <v>0</v>
      </c>
    </row>
    <row r="95" spans="2:35" ht="15" customHeight="1" hidden="1">
      <c r="B95" s="386"/>
      <c r="C95" s="386"/>
      <c r="D95" s="386">
        <f>'[1]GASTOS MATRIZ'!C92</f>
        <v>290</v>
      </c>
      <c r="E95" s="387" t="str">
        <f>'[1]GASTOS MATRIZ'!D92</f>
        <v>30</v>
      </c>
      <c r="F95" s="387" t="str">
        <f>'[1]GASTOS MATRIZ'!E92</f>
        <v>011</v>
      </c>
      <c r="G95" s="388" t="str">
        <f>'[1]GASTOS MATRIZ'!F92</f>
        <v>Servicios de Capacitación y Adiestramiento</v>
      </c>
      <c r="H95" s="389">
        <f>'[1]GASTOS MATRIZ'!G92</f>
        <v>0</v>
      </c>
      <c r="I95" s="389">
        <f>'[1]GASTOS MATRIZ'!H92</f>
        <v>0</v>
      </c>
      <c r="J95" s="389">
        <f>H95+I95</f>
        <v>0</v>
      </c>
      <c r="K95" s="389">
        <f>'[1]RESU X MES'!H83</f>
        <v>0</v>
      </c>
      <c r="L95" s="389">
        <f>'[1]RESU X MES'!H341</f>
        <v>0</v>
      </c>
      <c r="M95" s="389">
        <f>'[1]RESU X MES'!H600</f>
        <v>0</v>
      </c>
      <c r="N95" s="389"/>
      <c r="O95" s="389">
        <f>SUM(E95:J95)</f>
        <v>0</v>
      </c>
      <c r="P95" s="389"/>
      <c r="Q95" s="389"/>
      <c r="R95" s="389"/>
      <c r="S95" s="389"/>
      <c r="T95" s="389">
        <f>SUM(K95:P95)</f>
        <v>0</v>
      </c>
      <c r="U95" s="389">
        <f>'[1]RESU X MES'!H1124</f>
        <v>0</v>
      </c>
      <c r="V95" s="389">
        <f>'[1]RESU X MES'!H1386</f>
        <v>0</v>
      </c>
      <c r="W95" s="389">
        <f>'[1]RESU X MES'!H1649</f>
        <v>0</v>
      </c>
      <c r="X95" s="389">
        <f>'[1]RESU X MES'!H1910</f>
        <v>0</v>
      </c>
      <c r="Y95" s="389">
        <f>SUM(U95:X95)</f>
        <v>0</v>
      </c>
      <c r="Z95" s="389">
        <f t="shared" si="18"/>
        <v>0</v>
      </c>
      <c r="AA95" s="389">
        <f>'[1]RESU X MES'!H2169</f>
        <v>0</v>
      </c>
      <c r="AB95" s="389">
        <f>'[1]RESU X MES'!H2431</f>
        <v>0</v>
      </c>
      <c r="AC95" s="389">
        <f>'[1]RESU X MES'!H2693</f>
        <v>0</v>
      </c>
      <c r="AD95" s="389">
        <f>'[1]RESU X MES'!H2956</f>
        <v>0</v>
      </c>
      <c r="AE95" s="389">
        <f>SUM(AA95:AD95)</f>
        <v>0</v>
      </c>
      <c r="AF95" s="389">
        <f t="shared" si="8"/>
        <v>0</v>
      </c>
      <c r="AG95" s="389">
        <f>J95-AF95</f>
        <v>0</v>
      </c>
      <c r="AH95" s="389">
        <f>AF95-AI95</f>
        <v>0</v>
      </c>
      <c r="AI95" s="389">
        <f>'[1]RESU X MES'!N83+'[1]RESU X MES'!N341+'[1]RESU X MES'!N600+'[1]RESU X MES'!N863+'[1]RESU X MES'!N1124+'[1]RESU X MES'!N1386+'[1]RESU X MES'!N1649+'[1]RESU X MES'!N1910+'[1]RESU X MES'!N2169+'[1]RESU X MES'!N2431+'[1]RESU X MES'!N2693+'[1]RESU X MES'!N2956</f>
        <v>0</v>
      </c>
    </row>
    <row r="96" spans="2:35" ht="15" customHeight="1" hidden="1">
      <c r="B96" s="386"/>
      <c r="C96" s="386"/>
      <c r="D96" s="386"/>
      <c r="E96" s="387"/>
      <c r="F96" s="387"/>
      <c r="G96" s="388"/>
      <c r="H96" s="389"/>
      <c r="I96" s="389"/>
      <c r="J96" s="389"/>
      <c r="K96" s="389"/>
      <c r="L96" s="389"/>
      <c r="M96" s="389"/>
      <c r="N96" s="389"/>
      <c r="O96" s="389"/>
      <c r="P96" s="389"/>
      <c r="Q96" s="389"/>
      <c r="R96" s="389"/>
      <c r="S96" s="389"/>
      <c r="T96" s="389"/>
      <c r="U96" s="389"/>
      <c r="V96" s="389"/>
      <c r="W96" s="389"/>
      <c r="X96" s="389"/>
      <c r="Y96" s="389"/>
      <c r="Z96" s="389">
        <f t="shared" si="18"/>
        <v>0</v>
      </c>
      <c r="AA96" s="389"/>
      <c r="AB96" s="389"/>
      <c r="AC96" s="389"/>
      <c r="AD96" s="389"/>
      <c r="AE96" s="389"/>
      <c r="AF96" s="389">
        <f t="shared" si="8"/>
        <v>0</v>
      </c>
      <c r="AG96" s="389"/>
      <c r="AH96" s="389"/>
      <c r="AI96" s="389"/>
    </row>
    <row r="97" spans="2:35" ht="12" customHeight="1" hidden="1">
      <c r="B97" s="391"/>
      <c r="C97" s="391"/>
      <c r="D97" s="386"/>
      <c r="E97" s="387"/>
      <c r="F97" s="387"/>
      <c r="G97" s="391"/>
      <c r="H97" s="389"/>
      <c r="I97" s="389"/>
      <c r="J97" s="389"/>
      <c r="K97" s="389"/>
      <c r="L97" s="389"/>
      <c r="M97" s="389"/>
      <c r="N97" s="389"/>
      <c r="O97" s="389"/>
      <c r="P97" s="389"/>
      <c r="Q97" s="389"/>
      <c r="R97" s="389"/>
      <c r="S97" s="389"/>
      <c r="T97" s="389"/>
      <c r="U97" s="389"/>
      <c r="V97" s="389"/>
      <c r="W97" s="389"/>
      <c r="X97" s="389"/>
      <c r="Y97" s="389"/>
      <c r="Z97" s="389">
        <f t="shared" si="18"/>
        <v>0</v>
      </c>
      <c r="AA97" s="389"/>
      <c r="AB97" s="389"/>
      <c r="AC97" s="389"/>
      <c r="AD97" s="389"/>
      <c r="AE97" s="389"/>
      <c r="AF97" s="389">
        <f t="shared" si="8"/>
        <v>0</v>
      </c>
      <c r="AG97" s="389"/>
      <c r="AH97" s="389"/>
      <c r="AI97" s="389"/>
    </row>
    <row r="98" spans="2:35" s="417" customFormat="1" ht="12" customHeight="1">
      <c r="B98" s="383"/>
      <c r="C98" s="383">
        <v>260</v>
      </c>
      <c r="D98" s="381"/>
      <c r="E98" s="390"/>
      <c r="F98" s="390"/>
      <c r="G98" s="383" t="s">
        <v>557</v>
      </c>
      <c r="H98" s="382">
        <f>+H99</f>
        <v>0</v>
      </c>
      <c r="I98" s="382">
        <f aca="true" t="shared" si="21" ref="I98:AI98">+I99</f>
        <v>40000000</v>
      </c>
      <c r="J98" s="382">
        <f t="shared" si="21"/>
        <v>40000000</v>
      </c>
      <c r="K98" s="382">
        <f t="shared" si="21"/>
        <v>0</v>
      </c>
      <c r="L98" s="382">
        <f t="shared" si="21"/>
        <v>0</v>
      </c>
      <c r="M98" s="382">
        <f t="shared" si="21"/>
        <v>0</v>
      </c>
      <c r="N98" s="382">
        <f t="shared" si="21"/>
        <v>0</v>
      </c>
      <c r="O98" s="382">
        <f t="shared" si="21"/>
        <v>0</v>
      </c>
      <c r="P98" s="382">
        <f>+P99</f>
        <v>40000000</v>
      </c>
      <c r="Q98" s="382">
        <f t="shared" si="21"/>
        <v>0</v>
      </c>
      <c r="R98" s="382">
        <f t="shared" si="21"/>
        <v>0</v>
      </c>
      <c r="S98" s="382">
        <f t="shared" si="21"/>
        <v>0</v>
      </c>
      <c r="T98" s="382">
        <f t="shared" si="21"/>
        <v>0</v>
      </c>
      <c r="U98" s="382">
        <f t="shared" si="21"/>
        <v>0</v>
      </c>
      <c r="V98" s="382">
        <f t="shared" si="21"/>
        <v>0</v>
      </c>
      <c r="W98" s="382">
        <f t="shared" si="21"/>
        <v>0</v>
      </c>
      <c r="X98" s="382">
        <f t="shared" si="21"/>
        <v>0</v>
      </c>
      <c r="Y98" s="382">
        <f t="shared" si="21"/>
        <v>0</v>
      </c>
      <c r="Z98" s="382">
        <f t="shared" si="21"/>
        <v>0</v>
      </c>
      <c r="AA98" s="382">
        <f t="shared" si="21"/>
        <v>0</v>
      </c>
      <c r="AB98" s="382">
        <f t="shared" si="21"/>
        <v>0</v>
      </c>
      <c r="AC98" s="382">
        <f t="shared" si="21"/>
        <v>0</v>
      </c>
      <c r="AD98" s="382">
        <f t="shared" si="21"/>
        <v>0</v>
      </c>
      <c r="AE98" s="382">
        <f t="shared" si="21"/>
        <v>0</v>
      </c>
      <c r="AF98" s="382">
        <f t="shared" si="8"/>
        <v>40000000</v>
      </c>
      <c r="AG98" s="382">
        <f t="shared" si="21"/>
        <v>0</v>
      </c>
      <c r="AH98" s="382">
        <f t="shared" si="21"/>
        <v>40000000</v>
      </c>
      <c r="AI98" s="382">
        <f t="shared" si="21"/>
        <v>0</v>
      </c>
    </row>
    <row r="99" spans="2:35" ht="12" customHeight="1">
      <c r="B99" s="391"/>
      <c r="C99" s="391"/>
      <c r="D99" s="386">
        <v>260</v>
      </c>
      <c r="E99" s="387" t="s">
        <v>77</v>
      </c>
      <c r="F99" s="387" t="s">
        <v>32</v>
      </c>
      <c r="G99" s="391" t="s">
        <v>557</v>
      </c>
      <c r="H99" s="389"/>
      <c r="I99" s="389">
        <v>40000000</v>
      </c>
      <c r="J99" s="389">
        <f>+I99</f>
        <v>40000000</v>
      </c>
      <c r="K99" s="389">
        <v>0</v>
      </c>
      <c r="L99" s="389">
        <v>0</v>
      </c>
      <c r="M99" s="389">
        <v>0</v>
      </c>
      <c r="N99" s="389">
        <v>0</v>
      </c>
      <c r="O99" s="389"/>
      <c r="P99" s="389">
        <v>40000000</v>
      </c>
      <c r="Q99" s="389">
        <v>0</v>
      </c>
      <c r="R99" s="389"/>
      <c r="S99" s="389"/>
      <c r="T99" s="389"/>
      <c r="U99" s="389"/>
      <c r="V99" s="389"/>
      <c r="W99" s="389"/>
      <c r="X99" s="389"/>
      <c r="Y99" s="389"/>
      <c r="Z99" s="389"/>
      <c r="AA99" s="389"/>
      <c r="AB99" s="389"/>
      <c r="AC99" s="389"/>
      <c r="AD99" s="389"/>
      <c r="AE99" s="389"/>
      <c r="AF99" s="389">
        <f t="shared" si="8"/>
        <v>40000000</v>
      </c>
      <c r="AG99" s="389"/>
      <c r="AH99" s="389">
        <f>+AF99</f>
        <v>40000000</v>
      </c>
      <c r="AI99" s="389"/>
    </row>
    <row r="100" spans="2:35" ht="12" customHeight="1">
      <c r="B100" s="391"/>
      <c r="C100" s="391"/>
      <c r="D100" s="386"/>
      <c r="E100" s="387"/>
      <c r="F100" s="387"/>
      <c r="G100" s="391"/>
      <c r="H100" s="389"/>
      <c r="I100" s="389"/>
      <c r="J100" s="389"/>
      <c r="K100" s="389"/>
      <c r="L100" s="389"/>
      <c r="M100" s="389"/>
      <c r="N100" s="389"/>
      <c r="O100" s="389"/>
      <c r="P100" s="389"/>
      <c r="Q100" s="389"/>
      <c r="R100" s="389"/>
      <c r="S100" s="389"/>
      <c r="T100" s="389"/>
      <c r="U100" s="389"/>
      <c r="V100" s="389"/>
      <c r="W100" s="389"/>
      <c r="X100" s="389"/>
      <c r="Y100" s="389"/>
      <c r="Z100" s="389"/>
      <c r="AA100" s="389"/>
      <c r="AB100" s="389"/>
      <c r="AC100" s="389"/>
      <c r="AD100" s="389"/>
      <c r="AE100" s="389"/>
      <c r="AF100" s="389">
        <f t="shared" si="8"/>
        <v>0</v>
      </c>
      <c r="AG100" s="389"/>
      <c r="AH100" s="389"/>
      <c r="AI100" s="389"/>
    </row>
    <row r="101" spans="2:35" ht="14.25">
      <c r="B101" s="381">
        <f>'[1]GASTOS MATRIZ'!A95</f>
        <v>300</v>
      </c>
      <c r="C101" s="381"/>
      <c r="D101" s="381"/>
      <c r="E101" s="390"/>
      <c r="F101" s="390"/>
      <c r="G101" s="383" t="str">
        <f>'[1]GASTOS MATRIZ'!F95</f>
        <v>BIENES DE CONSUMO E INSUMOS</v>
      </c>
      <c r="H101" s="382">
        <f aca="true" t="shared" si="22" ref="H101:AI101">H102+H106+H110+H116+H122+H126+H132</f>
        <v>132054906</v>
      </c>
      <c r="I101" s="382">
        <f t="shared" si="22"/>
        <v>-68209856</v>
      </c>
      <c r="J101" s="382">
        <f t="shared" si="22"/>
        <v>63845050</v>
      </c>
      <c r="K101" s="382">
        <f t="shared" si="22"/>
        <v>0</v>
      </c>
      <c r="L101" s="382">
        <f t="shared" si="22"/>
        <v>0</v>
      </c>
      <c r="M101" s="382">
        <f t="shared" si="22"/>
        <v>0</v>
      </c>
      <c r="N101" s="382">
        <f t="shared" si="22"/>
        <v>0</v>
      </c>
      <c r="O101" s="382">
        <f t="shared" si="22"/>
        <v>0</v>
      </c>
      <c r="P101" s="382">
        <f t="shared" si="22"/>
        <v>0</v>
      </c>
      <c r="Q101" s="382">
        <f t="shared" si="22"/>
        <v>25000000</v>
      </c>
      <c r="R101" s="382">
        <f t="shared" si="22"/>
        <v>0</v>
      </c>
      <c r="S101" s="382">
        <f t="shared" si="22"/>
        <v>30000000</v>
      </c>
      <c r="T101" s="382">
        <f t="shared" si="22"/>
        <v>0</v>
      </c>
      <c r="U101" s="382">
        <f t="shared" si="22"/>
        <v>0</v>
      </c>
      <c r="V101" s="382">
        <f t="shared" si="22"/>
        <v>0</v>
      </c>
      <c r="W101" s="382">
        <f t="shared" si="22"/>
        <v>0</v>
      </c>
      <c r="X101" s="382">
        <f t="shared" si="22"/>
        <v>0</v>
      </c>
      <c r="Y101" s="382">
        <f t="shared" si="22"/>
        <v>0</v>
      </c>
      <c r="Z101" s="382">
        <f t="shared" si="22"/>
        <v>0</v>
      </c>
      <c r="AA101" s="382">
        <f t="shared" si="22"/>
        <v>0</v>
      </c>
      <c r="AB101" s="382">
        <f t="shared" si="22"/>
        <v>0</v>
      </c>
      <c r="AC101" s="382">
        <f t="shared" si="22"/>
        <v>0</v>
      </c>
      <c r="AD101" s="382">
        <f t="shared" si="22"/>
        <v>0</v>
      </c>
      <c r="AE101" s="382">
        <f t="shared" si="22"/>
        <v>0</v>
      </c>
      <c r="AF101" s="382">
        <f t="shared" si="8"/>
        <v>55000000</v>
      </c>
      <c r="AG101" s="382">
        <f t="shared" si="22"/>
        <v>8845050</v>
      </c>
      <c r="AH101" s="382">
        <f t="shared" si="22"/>
        <v>55000000</v>
      </c>
      <c r="AI101" s="382">
        <f t="shared" si="22"/>
        <v>0</v>
      </c>
    </row>
    <row r="102" spans="2:35" ht="15" customHeight="1" hidden="1">
      <c r="B102" s="383"/>
      <c r="C102" s="383">
        <f>'[1]GASTOS MATRIZ'!B96</f>
        <v>310</v>
      </c>
      <c r="D102" s="381"/>
      <c r="E102" s="390"/>
      <c r="F102" s="390"/>
      <c r="G102" s="383" t="str">
        <f>'[1]GASTOS MATRIZ'!F96</f>
        <v>Productos  Alimenticios</v>
      </c>
      <c r="H102" s="382">
        <f aca="true" t="shared" si="23" ref="H102:M102">SUM(H103:H105)</f>
        <v>0</v>
      </c>
      <c r="I102" s="382">
        <f t="shared" si="23"/>
        <v>0</v>
      </c>
      <c r="J102" s="382">
        <f t="shared" si="23"/>
        <v>0</v>
      </c>
      <c r="K102" s="382">
        <f t="shared" si="23"/>
        <v>0</v>
      </c>
      <c r="L102" s="382">
        <f t="shared" si="23"/>
        <v>0</v>
      </c>
      <c r="M102" s="382">
        <f t="shared" si="23"/>
        <v>0</v>
      </c>
      <c r="N102" s="382"/>
      <c r="O102" s="382">
        <f>SUM(E102:J102)</f>
        <v>0</v>
      </c>
      <c r="P102" s="382"/>
      <c r="Q102" s="382"/>
      <c r="R102" s="382"/>
      <c r="S102" s="382"/>
      <c r="T102" s="382">
        <f>SUM(K102:P102)</f>
        <v>0</v>
      </c>
      <c r="U102" s="382">
        <f>SUM(U103:U105)</f>
        <v>0</v>
      </c>
      <c r="V102" s="382">
        <f>SUM(V103:V105)</f>
        <v>0</v>
      </c>
      <c r="W102" s="382">
        <f>SUM(W103:W105)</f>
        <v>0</v>
      </c>
      <c r="X102" s="382">
        <f>SUM(X103:X105)</f>
        <v>0</v>
      </c>
      <c r="Y102" s="382">
        <f>SUM(U102:X102)</f>
        <v>0</v>
      </c>
      <c r="Z102" s="382">
        <f t="shared" si="18"/>
        <v>0</v>
      </c>
      <c r="AA102" s="382">
        <f>SUM(AA103:AA105)</f>
        <v>0</v>
      </c>
      <c r="AB102" s="382">
        <f>SUM(AB103:AB105)</f>
        <v>0</v>
      </c>
      <c r="AC102" s="382">
        <f>SUM(AC103:AC105)</f>
        <v>0</v>
      </c>
      <c r="AD102" s="382">
        <f>SUM(AD103:AD105)</f>
        <v>0</v>
      </c>
      <c r="AE102" s="382">
        <f>SUM(AA102:AD102)</f>
        <v>0</v>
      </c>
      <c r="AF102" s="382">
        <f t="shared" si="8"/>
        <v>0</v>
      </c>
      <c r="AG102" s="382">
        <f>SUM(AG103:AG105)</f>
        <v>0</v>
      </c>
      <c r="AH102" s="382">
        <f>SUM(AH103:AH105)</f>
        <v>0</v>
      </c>
      <c r="AI102" s="382">
        <f>SUM(AI103:AI105)</f>
        <v>0</v>
      </c>
    </row>
    <row r="103" spans="2:35" ht="15" customHeight="1" hidden="1">
      <c r="B103" s="391"/>
      <c r="C103" s="391"/>
      <c r="D103" s="386"/>
      <c r="E103" s="387"/>
      <c r="F103" s="387"/>
      <c r="G103" s="391"/>
      <c r="H103" s="389"/>
      <c r="I103" s="389"/>
      <c r="J103" s="389"/>
      <c r="K103" s="389"/>
      <c r="L103" s="389"/>
      <c r="M103" s="389"/>
      <c r="N103" s="389"/>
      <c r="O103" s="389"/>
      <c r="P103" s="389"/>
      <c r="Q103" s="389"/>
      <c r="R103" s="389"/>
      <c r="S103" s="389"/>
      <c r="T103" s="389"/>
      <c r="U103" s="389"/>
      <c r="V103" s="389"/>
      <c r="W103" s="389"/>
      <c r="X103" s="389"/>
      <c r="Y103" s="389"/>
      <c r="Z103" s="389">
        <f t="shared" si="18"/>
        <v>0</v>
      </c>
      <c r="AA103" s="389"/>
      <c r="AB103" s="389"/>
      <c r="AC103" s="389"/>
      <c r="AD103" s="389"/>
      <c r="AE103" s="389"/>
      <c r="AF103" s="389">
        <f t="shared" si="8"/>
        <v>0</v>
      </c>
      <c r="AG103" s="389"/>
      <c r="AH103" s="389"/>
      <c r="AI103" s="389"/>
    </row>
    <row r="104" spans="2:35" ht="15" customHeight="1" hidden="1">
      <c r="B104" s="391"/>
      <c r="C104" s="391"/>
      <c r="D104" s="386"/>
      <c r="E104" s="387"/>
      <c r="F104" s="387"/>
      <c r="G104" s="391"/>
      <c r="H104" s="389"/>
      <c r="I104" s="389"/>
      <c r="J104" s="389"/>
      <c r="K104" s="389"/>
      <c r="L104" s="389"/>
      <c r="M104" s="389"/>
      <c r="N104" s="389"/>
      <c r="O104" s="389"/>
      <c r="P104" s="389"/>
      <c r="Q104" s="389"/>
      <c r="R104" s="389"/>
      <c r="S104" s="389"/>
      <c r="T104" s="389"/>
      <c r="U104" s="389"/>
      <c r="V104" s="389"/>
      <c r="W104" s="389"/>
      <c r="X104" s="389"/>
      <c r="Y104" s="389"/>
      <c r="Z104" s="389">
        <f t="shared" si="18"/>
        <v>0</v>
      </c>
      <c r="AA104" s="389"/>
      <c r="AB104" s="389"/>
      <c r="AC104" s="389"/>
      <c r="AD104" s="389"/>
      <c r="AE104" s="389"/>
      <c r="AF104" s="389">
        <f t="shared" si="8"/>
        <v>0</v>
      </c>
      <c r="AG104" s="389"/>
      <c r="AH104" s="389"/>
      <c r="AI104" s="389"/>
    </row>
    <row r="105" spans="2:35" ht="15" customHeight="1" hidden="1">
      <c r="B105" s="391"/>
      <c r="C105" s="391"/>
      <c r="D105" s="386"/>
      <c r="E105" s="387"/>
      <c r="F105" s="387"/>
      <c r="G105" s="391"/>
      <c r="H105" s="389"/>
      <c r="I105" s="389"/>
      <c r="J105" s="389"/>
      <c r="K105" s="389"/>
      <c r="L105" s="389"/>
      <c r="M105" s="389"/>
      <c r="N105" s="389"/>
      <c r="O105" s="389"/>
      <c r="P105" s="389"/>
      <c r="Q105" s="389"/>
      <c r="R105" s="389"/>
      <c r="S105" s="389"/>
      <c r="T105" s="389"/>
      <c r="U105" s="389"/>
      <c r="V105" s="389"/>
      <c r="W105" s="389"/>
      <c r="X105" s="389"/>
      <c r="Y105" s="389"/>
      <c r="Z105" s="389">
        <f t="shared" si="18"/>
        <v>0</v>
      </c>
      <c r="AA105" s="389"/>
      <c r="AB105" s="389"/>
      <c r="AC105" s="389"/>
      <c r="AD105" s="389"/>
      <c r="AE105" s="389"/>
      <c r="AF105" s="389">
        <f t="shared" si="8"/>
        <v>0</v>
      </c>
      <c r="AG105" s="389"/>
      <c r="AH105" s="389"/>
      <c r="AI105" s="389"/>
    </row>
    <row r="106" spans="2:35" ht="15" customHeight="1" hidden="1">
      <c r="B106" s="383"/>
      <c r="C106" s="383">
        <f>'[1]GASTOS MATRIZ'!B100</f>
        <v>320</v>
      </c>
      <c r="D106" s="381"/>
      <c r="E106" s="390"/>
      <c r="F106" s="390"/>
      <c r="G106" s="383" t="str">
        <f>'[1]GASTOS MATRIZ'!F100</f>
        <v>Textiles y Vestuarios</v>
      </c>
      <c r="H106" s="382">
        <f aca="true" t="shared" si="24" ref="H106:M106">SUM(H107:H109)</f>
        <v>0</v>
      </c>
      <c r="I106" s="382">
        <f t="shared" si="24"/>
        <v>0</v>
      </c>
      <c r="J106" s="382">
        <f t="shared" si="24"/>
        <v>0</v>
      </c>
      <c r="K106" s="382">
        <f t="shared" si="24"/>
        <v>0</v>
      </c>
      <c r="L106" s="382">
        <f t="shared" si="24"/>
        <v>0</v>
      </c>
      <c r="M106" s="382">
        <f t="shared" si="24"/>
        <v>0</v>
      </c>
      <c r="N106" s="382"/>
      <c r="O106" s="382">
        <f>SUM(E106:J106)</f>
        <v>0</v>
      </c>
      <c r="P106" s="382"/>
      <c r="Q106" s="382"/>
      <c r="R106" s="382"/>
      <c r="S106" s="382"/>
      <c r="T106" s="382">
        <f>SUM(K106:P106)</f>
        <v>0</v>
      </c>
      <c r="U106" s="382">
        <f>SUM(U107:U109)</f>
        <v>0</v>
      </c>
      <c r="V106" s="382">
        <f>SUM(V107:V109)</f>
        <v>0</v>
      </c>
      <c r="W106" s="382">
        <f>SUM(W107:W109)</f>
        <v>0</v>
      </c>
      <c r="X106" s="382">
        <f>SUM(X107:X109)</f>
        <v>0</v>
      </c>
      <c r="Y106" s="382">
        <f>SUM(U106:X106)</f>
        <v>0</v>
      </c>
      <c r="Z106" s="382">
        <f t="shared" si="18"/>
        <v>0</v>
      </c>
      <c r="AA106" s="382">
        <f>SUM(AA107:AA109)</f>
        <v>0</v>
      </c>
      <c r="AB106" s="382">
        <f>SUM(AB107:AB109)</f>
        <v>0</v>
      </c>
      <c r="AC106" s="382">
        <f>SUM(AC107:AC109)</f>
        <v>0</v>
      </c>
      <c r="AD106" s="382">
        <f>SUM(AD107:AD109)</f>
        <v>0</v>
      </c>
      <c r="AE106" s="382">
        <f>SUM(AA106:AD106)</f>
        <v>0</v>
      </c>
      <c r="AF106" s="382">
        <f t="shared" si="8"/>
        <v>0</v>
      </c>
      <c r="AG106" s="382">
        <f>SUM(AG107:AG109)</f>
        <v>0</v>
      </c>
      <c r="AH106" s="382">
        <f>SUM(AH107:AH109)</f>
        <v>0</v>
      </c>
      <c r="AI106" s="382">
        <f>SUM(AI107:AI109)</f>
        <v>0</v>
      </c>
    </row>
    <row r="107" spans="2:35" ht="15" customHeight="1" hidden="1">
      <c r="B107" s="391"/>
      <c r="C107" s="391"/>
      <c r="D107" s="386"/>
      <c r="E107" s="387"/>
      <c r="F107" s="387"/>
      <c r="G107" s="391"/>
      <c r="H107" s="389"/>
      <c r="I107" s="389"/>
      <c r="J107" s="389"/>
      <c r="K107" s="389"/>
      <c r="L107" s="389"/>
      <c r="M107" s="389"/>
      <c r="N107" s="389"/>
      <c r="O107" s="389"/>
      <c r="P107" s="389"/>
      <c r="Q107" s="389"/>
      <c r="R107" s="389"/>
      <c r="S107" s="389"/>
      <c r="T107" s="389"/>
      <c r="U107" s="389"/>
      <c r="V107" s="389"/>
      <c r="W107" s="389"/>
      <c r="X107" s="389"/>
      <c r="Y107" s="389"/>
      <c r="Z107" s="389">
        <f t="shared" si="18"/>
        <v>0</v>
      </c>
      <c r="AA107" s="389"/>
      <c r="AB107" s="389"/>
      <c r="AC107" s="389"/>
      <c r="AD107" s="389"/>
      <c r="AE107" s="389"/>
      <c r="AF107" s="389">
        <f t="shared" si="8"/>
        <v>0</v>
      </c>
      <c r="AG107" s="389"/>
      <c r="AH107" s="389"/>
      <c r="AI107" s="389"/>
    </row>
    <row r="108" spans="2:35" ht="15" customHeight="1" hidden="1">
      <c r="B108" s="391"/>
      <c r="C108" s="391"/>
      <c r="D108" s="386"/>
      <c r="E108" s="387"/>
      <c r="F108" s="387"/>
      <c r="G108" s="391"/>
      <c r="H108" s="389"/>
      <c r="I108" s="389"/>
      <c r="J108" s="389"/>
      <c r="K108" s="389"/>
      <c r="L108" s="389"/>
      <c r="M108" s="389"/>
      <c r="N108" s="389"/>
      <c r="O108" s="389"/>
      <c r="P108" s="389"/>
      <c r="Q108" s="389"/>
      <c r="R108" s="389"/>
      <c r="S108" s="389"/>
      <c r="T108" s="389"/>
      <c r="U108" s="389"/>
      <c r="V108" s="389"/>
      <c r="W108" s="389"/>
      <c r="X108" s="389"/>
      <c r="Y108" s="389"/>
      <c r="Z108" s="389">
        <f t="shared" si="18"/>
        <v>0</v>
      </c>
      <c r="AA108" s="389"/>
      <c r="AB108" s="389"/>
      <c r="AC108" s="389"/>
      <c r="AD108" s="389"/>
      <c r="AE108" s="389"/>
      <c r="AF108" s="389">
        <f t="shared" si="8"/>
        <v>0</v>
      </c>
      <c r="AG108" s="389"/>
      <c r="AH108" s="389"/>
      <c r="AI108" s="389"/>
    </row>
    <row r="109" spans="2:35" ht="15" customHeight="1" hidden="1">
      <c r="B109" s="391"/>
      <c r="C109" s="391"/>
      <c r="D109" s="386"/>
      <c r="E109" s="387"/>
      <c r="F109" s="387"/>
      <c r="G109" s="391"/>
      <c r="H109" s="389"/>
      <c r="I109" s="389"/>
      <c r="J109" s="389"/>
      <c r="K109" s="389"/>
      <c r="L109" s="389"/>
      <c r="M109" s="389"/>
      <c r="N109" s="389"/>
      <c r="O109" s="389"/>
      <c r="P109" s="389"/>
      <c r="Q109" s="389"/>
      <c r="R109" s="389"/>
      <c r="S109" s="389"/>
      <c r="T109" s="389"/>
      <c r="U109" s="389"/>
      <c r="V109" s="389"/>
      <c r="W109" s="389"/>
      <c r="X109" s="389"/>
      <c r="Y109" s="389"/>
      <c r="Z109" s="389">
        <f t="shared" si="18"/>
        <v>0</v>
      </c>
      <c r="AA109" s="389"/>
      <c r="AB109" s="389"/>
      <c r="AC109" s="389"/>
      <c r="AD109" s="389"/>
      <c r="AE109" s="389"/>
      <c r="AF109" s="389">
        <f t="shared" si="8"/>
        <v>0</v>
      </c>
      <c r="AG109" s="389"/>
      <c r="AH109" s="389"/>
      <c r="AI109" s="389"/>
    </row>
    <row r="110" spans="2:35" ht="15" customHeight="1" hidden="1">
      <c r="B110" s="383"/>
      <c r="C110" s="383">
        <f>'[1]GASTOS MATRIZ'!B104</f>
        <v>330</v>
      </c>
      <c r="D110" s="381"/>
      <c r="E110" s="390"/>
      <c r="F110" s="390"/>
      <c r="G110" s="383" t="str">
        <f>'[1]GASTOS MATRIZ'!F104</f>
        <v>Productos de Papel, Cartón e Impresos</v>
      </c>
      <c r="H110" s="382">
        <f aca="true" t="shared" si="25" ref="H110:M110">SUM(H111:H115)</f>
        <v>0</v>
      </c>
      <c r="I110" s="382">
        <f t="shared" si="25"/>
        <v>0</v>
      </c>
      <c r="J110" s="382">
        <f t="shared" si="25"/>
        <v>0</v>
      </c>
      <c r="K110" s="382">
        <f t="shared" si="25"/>
        <v>0</v>
      </c>
      <c r="L110" s="382">
        <f t="shared" si="25"/>
        <v>0</v>
      </c>
      <c r="M110" s="382">
        <f t="shared" si="25"/>
        <v>0</v>
      </c>
      <c r="N110" s="382"/>
      <c r="O110" s="382">
        <f>SUM(E110:J110)</f>
        <v>0</v>
      </c>
      <c r="P110" s="382"/>
      <c r="Q110" s="382"/>
      <c r="R110" s="382"/>
      <c r="S110" s="382"/>
      <c r="T110" s="382">
        <f>SUM(K110:P110)</f>
        <v>0</v>
      </c>
      <c r="U110" s="382">
        <f>SUM(U111:U115)</f>
        <v>0</v>
      </c>
      <c r="V110" s="382">
        <f>SUM(V111:V115)</f>
        <v>0</v>
      </c>
      <c r="W110" s="382">
        <f>SUM(W111:W115)</f>
        <v>0</v>
      </c>
      <c r="X110" s="382">
        <f>SUM(X111:X115)</f>
        <v>0</v>
      </c>
      <c r="Y110" s="382">
        <f>SUM(U110:X110)</f>
        <v>0</v>
      </c>
      <c r="Z110" s="382">
        <f t="shared" si="18"/>
        <v>0</v>
      </c>
      <c r="AA110" s="382">
        <f>SUM(AA111:AA115)</f>
        <v>0</v>
      </c>
      <c r="AB110" s="382">
        <f>SUM(AB111:AB115)</f>
        <v>0</v>
      </c>
      <c r="AC110" s="382">
        <f>SUM(AC111:AC115)</f>
        <v>0</v>
      </c>
      <c r="AD110" s="382">
        <f>SUM(AD111:AD115)</f>
        <v>0</v>
      </c>
      <c r="AE110" s="382">
        <f>SUM(AA110:AD110)</f>
        <v>0</v>
      </c>
      <c r="AF110" s="382">
        <f t="shared" si="8"/>
        <v>0</v>
      </c>
      <c r="AG110" s="382">
        <f>SUM(AG111:AG115)</f>
        <v>0</v>
      </c>
      <c r="AH110" s="382">
        <f>SUM(AH111:AH115)</f>
        <v>0</v>
      </c>
      <c r="AI110" s="382">
        <f>SUM(AI111:AI115)</f>
        <v>0</v>
      </c>
    </row>
    <row r="111" spans="2:35" ht="15" customHeight="1" hidden="1">
      <c r="B111" s="391"/>
      <c r="C111" s="391"/>
      <c r="D111" s="386">
        <f>'[1]GASTOS MATRIZ'!C105</f>
        <v>330</v>
      </c>
      <c r="E111" s="387" t="str">
        <f>'[1]GASTOS MATRIZ'!D105</f>
        <v>30</v>
      </c>
      <c r="F111" s="387" t="str">
        <f>'[1]GASTOS MATRIZ'!E105</f>
        <v>011</v>
      </c>
      <c r="G111" s="391" t="str">
        <f>'[1]GASTOS MATRIZ'!F105</f>
        <v>Productos de Papel, Cartón e Impresos</v>
      </c>
      <c r="H111" s="389">
        <f>'[1]GASTOS MATRIZ'!G105</f>
        <v>0</v>
      </c>
      <c r="I111" s="389">
        <f>'[1]GASTOS MATRIZ'!H105</f>
        <v>0</v>
      </c>
      <c r="J111" s="389">
        <f>H111+I111</f>
        <v>0</v>
      </c>
      <c r="K111" s="389">
        <f>'[1]RESU X MES'!H96</f>
        <v>0</v>
      </c>
      <c r="L111" s="389">
        <f>'[1]RESU X MES'!H354</f>
        <v>0</v>
      </c>
      <c r="M111" s="389">
        <f>'[1]RESU X MES'!H613</f>
        <v>0</v>
      </c>
      <c r="N111" s="389"/>
      <c r="O111" s="389">
        <f>SUM(E111:J111)</f>
        <v>0</v>
      </c>
      <c r="P111" s="389"/>
      <c r="Q111" s="389"/>
      <c r="R111" s="389"/>
      <c r="S111" s="389"/>
      <c r="T111" s="389">
        <f>SUM(K111:P111)</f>
        <v>0</v>
      </c>
      <c r="U111" s="389">
        <f>'[1]RESU X MES'!H1137</f>
        <v>0</v>
      </c>
      <c r="V111" s="389">
        <f>'[1]RESU X MES'!H1399</f>
        <v>0</v>
      </c>
      <c r="W111" s="389">
        <f>'[1]RESU X MES'!H1662</f>
        <v>0</v>
      </c>
      <c r="X111" s="389">
        <f>'[1]RESU X MES'!H1923</f>
        <v>0</v>
      </c>
      <c r="Y111" s="389">
        <f>SUM(U111:X111)</f>
        <v>0</v>
      </c>
      <c r="Z111" s="389">
        <f t="shared" si="18"/>
        <v>0</v>
      </c>
      <c r="AA111" s="389">
        <f>'[1]RESU X MES'!H2182</f>
        <v>0</v>
      </c>
      <c r="AB111" s="389">
        <f>'[1]RESU X MES'!H2444</f>
        <v>0</v>
      </c>
      <c r="AC111" s="389">
        <f>'[1]RESU X MES'!H2706</f>
        <v>0</v>
      </c>
      <c r="AD111" s="389">
        <f>'[1]RESU X MES'!H2969</f>
        <v>0</v>
      </c>
      <c r="AE111" s="389">
        <f>SUM(AA111:AD111)</f>
        <v>0</v>
      </c>
      <c r="AF111" s="389">
        <f aca="true" t="shared" si="26" ref="AF111:AF174">+O111+P111+Q111+R111+S111</f>
        <v>0</v>
      </c>
      <c r="AG111" s="389">
        <f>J111-AF111</f>
        <v>0</v>
      </c>
      <c r="AH111" s="389">
        <f>AF111-AI111</f>
        <v>0</v>
      </c>
      <c r="AI111" s="389">
        <f>'[1]RESU X MES'!N96+'[1]RESU X MES'!N354+'[1]RESU X MES'!N613+'[1]RESU X MES'!N876+'[1]RESU X MES'!N1137+'[1]RESU X MES'!N1399+'[1]RESU X MES'!N1662+'[1]RESU X MES'!N1923+'[1]RESU X MES'!N2182+'[1]RESU X MES'!N2444+'[1]RESU X MES'!N2706+'[1]RESU X MES'!N2969</f>
        <v>0</v>
      </c>
    </row>
    <row r="112" spans="2:35" ht="15" customHeight="1" hidden="1">
      <c r="B112" s="391"/>
      <c r="C112" s="391"/>
      <c r="D112" s="386"/>
      <c r="E112" s="387"/>
      <c r="F112" s="387"/>
      <c r="G112" s="391"/>
      <c r="H112" s="389"/>
      <c r="I112" s="389"/>
      <c r="J112" s="389"/>
      <c r="K112" s="389"/>
      <c r="L112" s="389"/>
      <c r="M112" s="389"/>
      <c r="N112" s="389"/>
      <c r="O112" s="389"/>
      <c r="P112" s="389"/>
      <c r="Q112" s="389"/>
      <c r="R112" s="389"/>
      <c r="S112" s="389"/>
      <c r="T112" s="389"/>
      <c r="U112" s="389"/>
      <c r="V112" s="389"/>
      <c r="W112" s="389"/>
      <c r="X112" s="389"/>
      <c r="Y112" s="389"/>
      <c r="Z112" s="389">
        <f t="shared" si="18"/>
        <v>0</v>
      </c>
      <c r="AA112" s="389"/>
      <c r="AB112" s="389"/>
      <c r="AC112" s="389"/>
      <c r="AD112" s="389"/>
      <c r="AE112" s="389"/>
      <c r="AF112" s="389">
        <f t="shared" si="26"/>
        <v>0</v>
      </c>
      <c r="AG112" s="389"/>
      <c r="AH112" s="389"/>
      <c r="AI112" s="389"/>
    </row>
    <row r="113" spans="2:35" ht="15" customHeight="1" hidden="1">
      <c r="B113" s="391"/>
      <c r="C113" s="391"/>
      <c r="D113" s="386"/>
      <c r="E113" s="387"/>
      <c r="F113" s="387"/>
      <c r="G113" s="391"/>
      <c r="H113" s="389"/>
      <c r="I113" s="389"/>
      <c r="J113" s="389"/>
      <c r="K113" s="389"/>
      <c r="L113" s="389"/>
      <c r="M113" s="389"/>
      <c r="N113" s="389"/>
      <c r="O113" s="389"/>
      <c r="P113" s="389"/>
      <c r="Q113" s="389"/>
      <c r="R113" s="389"/>
      <c r="S113" s="389"/>
      <c r="T113" s="389"/>
      <c r="U113" s="389"/>
      <c r="V113" s="389"/>
      <c r="W113" s="389"/>
      <c r="X113" s="389"/>
      <c r="Y113" s="389"/>
      <c r="Z113" s="389">
        <f t="shared" si="18"/>
        <v>0</v>
      </c>
      <c r="AA113" s="389"/>
      <c r="AB113" s="389"/>
      <c r="AC113" s="389"/>
      <c r="AD113" s="389"/>
      <c r="AE113" s="389"/>
      <c r="AF113" s="389">
        <f t="shared" si="26"/>
        <v>0</v>
      </c>
      <c r="AG113" s="389"/>
      <c r="AH113" s="389"/>
      <c r="AI113" s="389"/>
    </row>
    <row r="114" spans="2:35" ht="15" customHeight="1" hidden="1">
      <c r="B114" s="391"/>
      <c r="C114" s="391"/>
      <c r="D114" s="386"/>
      <c r="E114" s="387"/>
      <c r="F114" s="387"/>
      <c r="G114" s="391"/>
      <c r="H114" s="389"/>
      <c r="I114" s="389"/>
      <c r="J114" s="389"/>
      <c r="K114" s="389"/>
      <c r="L114" s="389"/>
      <c r="M114" s="389"/>
      <c r="N114" s="389"/>
      <c r="O114" s="389"/>
      <c r="P114" s="389"/>
      <c r="Q114" s="389"/>
      <c r="R114" s="389"/>
      <c r="S114" s="389"/>
      <c r="T114" s="389"/>
      <c r="U114" s="389"/>
      <c r="V114" s="389"/>
      <c r="W114" s="389"/>
      <c r="X114" s="389"/>
      <c r="Y114" s="389"/>
      <c r="Z114" s="389">
        <f t="shared" si="18"/>
        <v>0</v>
      </c>
      <c r="AA114" s="389"/>
      <c r="AB114" s="389"/>
      <c r="AC114" s="389"/>
      <c r="AD114" s="389"/>
      <c r="AE114" s="389"/>
      <c r="AF114" s="389">
        <f t="shared" si="26"/>
        <v>0</v>
      </c>
      <c r="AG114" s="389"/>
      <c r="AH114" s="389"/>
      <c r="AI114" s="389"/>
    </row>
    <row r="115" spans="2:35" ht="15" customHeight="1" hidden="1">
      <c r="B115" s="391"/>
      <c r="C115" s="391"/>
      <c r="D115" s="386"/>
      <c r="E115" s="387"/>
      <c r="F115" s="387"/>
      <c r="G115" s="391"/>
      <c r="H115" s="389"/>
      <c r="I115" s="389"/>
      <c r="J115" s="389"/>
      <c r="K115" s="389"/>
      <c r="L115" s="389"/>
      <c r="M115" s="389"/>
      <c r="N115" s="389"/>
      <c r="O115" s="389"/>
      <c r="P115" s="389"/>
      <c r="Q115" s="389"/>
      <c r="R115" s="389"/>
      <c r="S115" s="389"/>
      <c r="T115" s="389"/>
      <c r="U115" s="389"/>
      <c r="V115" s="389"/>
      <c r="W115" s="389"/>
      <c r="X115" s="389"/>
      <c r="Y115" s="389"/>
      <c r="Z115" s="389">
        <f t="shared" si="18"/>
        <v>0</v>
      </c>
      <c r="AA115" s="389"/>
      <c r="AB115" s="389"/>
      <c r="AC115" s="389"/>
      <c r="AD115" s="389"/>
      <c r="AE115" s="389"/>
      <c r="AF115" s="389">
        <f t="shared" si="26"/>
        <v>0</v>
      </c>
      <c r="AG115" s="389"/>
      <c r="AH115" s="389"/>
      <c r="AI115" s="389"/>
    </row>
    <row r="116" spans="2:35" ht="14.25">
      <c r="B116" s="383"/>
      <c r="C116" s="383">
        <f>'[1]GASTOS MATRIZ'!B110</f>
        <v>340</v>
      </c>
      <c r="D116" s="381"/>
      <c r="E116" s="390"/>
      <c r="F116" s="390"/>
      <c r="G116" s="383" t="str">
        <f>'[1]GASTOS MATRIZ'!F110</f>
        <v>Bienes de Consumo de Oficina e Insumos</v>
      </c>
      <c r="H116" s="382">
        <f aca="true" t="shared" si="27" ref="H116:M116">SUM(H117:H121)</f>
        <v>0</v>
      </c>
      <c r="I116" s="382">
        <f t="shared" si="27"/>
        <v>0</v>
      </c>
      <c r="J116" s="382">
        <f t="shared" si="27"/>
        <v>0</v>
      </c>
      <c r="K116" s="382">
        <f t="shared" si="27"/>
        <v>0</v>
      </c>
      <c r="L116" s="382">
        <f t="shared" si="27"/>
        <v>0</v>
      </c>
      <c r="M116" s="382">
        <f t="shared" si="27"/>
        <v>0</v>
      </c>
      <c r="N116" s="382">
        <v>0</v>
      </c>
      <c r="O116" s="382">
        <f>SUM(E116:J116)</f>
        <v>0</v>
      </c>
      <c r="P116" s="382">
        <v>0</v>
      </c>
      <c r="Q116" s="382">
        <v>0</v>
      </c>
      <c r="R116" s="382"/>
      <c r="S116" s="382"/>
      <c r="T116" s="382">
        <f>SUM(K116:P116)</f>
        <v>0</v>
      </c>
      <c r="U116" s="382">
        <f>SUM(U117:U121)</f>
        <v>0</v>
      </c>
      <c r="V116" s="382">
        <f>SUM(V117:V121)</f>
        <v>0</v>
      </c>
      <c r="W116" s="382">
        <f>SUM(W117:W121)</f>
        <v>0</v>
      </c>
      <c r="X116" s="382">
        <f>SUM(X117:X121)</f>
        <v>0</v>
      </c>
      <c r="Y116" s="382">
        <f>SUM(U116:X116)</f>
        <v>0</v>
      </c>
      <c r="Z116" s="382">
        <f t="shared" si="18"/>
        <v>0</v>
      </c>
      <c r="AA116" s="382">
        <f>SUM(AA117:AA121)</f>
        <v>0</v>
      </c>
      <c r="AB116" s="382">
        <f>SUM(AB117:AB121)</f>
        <v>0</v>
      </c>
      <c r="AC116" s="382">
        <f>SUM(AC117:AC121)</f>
        <v>0</v>
      </c>
      <c r="AD116" s="382">
        <f>SUM(AD117:AD121)</f>
        <v>0</v>
      </c>
      <c r="AE116" s="382">
        <f>SUM(AA116:AD116)</f>
        <v>0</v>
      </c>
      <c r="AF116" s="382">
        <f t="shared" si="26"/>
        <v>0</v>
      </c>
      <c r="AG116" s="382">
        <f>SUM(AG117:AG121)</f>
        <v>0</v>
      </c>
      <c r="AH116" s="382">
        <f>SUM(AH117:AH121)</f>
        <v>0</v>
      </c>
      <c r="AI116" s="382">
        <f>SUM(AI117:AI121)</f>
        <v>0</v>
      </c>
    </row>
    <row r="117" spans="2:35" ht="14.25">
      <c r="B117" s="391"/>
      <c r="C117" s="391"/>
      <c r="D117" s="386">
        <f>'[1]GASTOS MATRIZ'!C111</f>
        <v>340</v>
      </c>
      <c r="E117" s="387" t="str">
        <f>'[1]GASTOS MATRIZ'!D111</f>
        <v>30</v>
      </c>
      <c r="F117" s="387" t="str">
        <f>'[1]GASTOS MATRIZ'!E111</f>
        <v>011</v>
      </c>
      <c r="G117" s="391" t="str">
        <f>'[1]GASTOS MATRIZ'!F111</f>
        <v>Bienes de Consumo de Oficina e Insumos</v>
      </c>
      <c r="H117" s="389">
        <f>'[1]GASTOS MATRIZ'!G111</f>
        <v>0</v>
      </c>
      <c r="I117" s="389">
        <f>'[1]GASTOS MATRIZ'!H111</f>
        <v>0</v>
      </c>
      <c r="J117" s="389">
        <f>H117+I117</f>
        <v>0</v>
      </c>
      <c r="K117" s="389">
        <f>'[1]RESU X MES'!H102</f>
        <v>0</v>
      </c>
      <c r="L117" s="389">
        <f>'[1]RESU X MES'!H360</f>
        <v>0</v>
      </c>
      <c r="M117" s="389">
        <f>'[1]RESU X MES'!H619</f>
        <v>0</v>
      </c>
      <c r="N117" s="389">
        <v>0</v>
      </c>
      <c r="O117" s="389">
        <f>SUM(E117:J117)</f>
        <v>0</v>
      </c>
      <c r="P117" s="389">
        <v>0</v>
      </c>
      <c r="Q117" s="389">
        <v>0</v>
      </c>
      <c r="R117" s="389"/>
      <c r="S117" s="389"/>
      <c r="T117" s="389">
        <f>SUM(K117:P117)</f>
        <v>0</v>
      </c>
      <c r="U117" s="389">
        <f>'[1]RESU X MES'!H1143</f>
        <v>0</v>
      </c>
      <c r="V117" s="389">
        <f>'[1]RESU X MES'!H1405</f>
        <v>0</v>
      </c>
      <c r="W117" s="389">
        <f>'[1]RESU X MES'!H1668</f>
        <v>0</v>
      </c>
      <c r="X117" s="389">
        <f>'[1]RESU X MES'!H1929</f>
        <v>0</v>
      </c>
      <c r="Y117" s="389">
        <f>SUM(U117:X117)</f>
        <v>0</v>
      </c>
      <c r="Z117" s="389">
        <f t="shared" si="18"/>
        <v>0</v>
      </c>
      <c r="AA117" s="389">
        <f>'[1]RESU X MES'!H2188</f>
        <v>0</v>
      </c>
      <c r="AB117" s="389">
        <f>'[1]RESU X MES'!H2450</f>
        <v>0</v>
      </c>
      <c r="AC117" s="389">
        <f>'[1]RESU X MES'!H2712</f>
        <v>0</v>
      </c>
      <c r="AD117" s="389">
        <f>'[1]RESU X MES'!H2975</f>
        <v>0</v>
      </c>
      <c r="AE117" s="389">
        <f>SUM(AA117:AD117)</f>
        <v>0</v>
      </c>
      <c r="AF117" s="389">
        <f t="shared" si="26"/>
        <v>0</v>
      </c>
      <c r="AG117" s="389">
        <f>J117-AF117</f>
        <v>0</v>
      </c>
      <c r="AH117" s="389">
        <f>AF117-AI117</f>
        <v>0</v>
      </c>
      <c r="AI117" s="389">
        <f>'[1]RESU X MES'!N102+'[1]RESU X MES'!N360+'[1]RESU X MES'!N619+'[1]RESU X MES'!N882+'[1]RESU X MES'!N1143+'[1]RESU X MES'!N1405+'[1]RESU X MES'!N1668+'[1]RESU X MES'!N1929+'[1]RESU X MES'!N2188+'[1]RESU X MES'!N2450+'[1]RESU X MES'!N2712+'[1]RESU X MES'!N2975</f>
        <v>0</v>
      </c>
    </row>
    <row r="118" spans="2:35" ht="15" customHeight="1" hidden="1">
      <c r="B118" s="391"/>
      <c r="C118" s="391"/>
      <c r="D118" s="386"/>
      <c r="E118" s="387"/>
      <c r="F118" s="387"/>
      <c r="G118" s="391"/>
      <c r="H118" s="389"/>
      <c r="I118" s="389"/>
      <c r="J118" s="389"/>
      <c r="K118" s="389"/>
      <c r="L118" s="389"/>
      <c r="M118" s="389"/>
      <c r="N118" s="389"/>
      <c r="O118" s="389"/>
      <c r="P118" s="389"/>
      <c r="Q118" s="389"/>
      <c r="R118" s="389"/>
      <c r="S118" s="389"/>
      <c r="T118" s="389"/>
      <c r="U118" s="389"/>
      <c r="V118" s="389"/>
      <c r="W118" s="389"/>
      <c r="X118" s="389"/>
      <c r="Y118" s="389"/>
      <c r="Z118" s="389">
        <f t="shared" si="18"/>
        <v>0</v>
      </c>
      <c r="AA118" s="389"/>
      <c r="AB118" s="389"/>
      <c r="AC118" s="389"/>
      <c r="AD118" s="389"/>
      <c r="AE118" s="389"/>
      <c r="AF118" s="389">
        <f t="shared" si="26"/>
        <v>0</v>
      </c>
      <c r="AG118" s="389"/>
      <c r="AH118" s="389"/>
      <c r="AI118" s="389"/>
    </row>
    <row r="119" spans="2:35" ht="15" customHeight="1" hidden="1">
      <c r="B119" s="391"/>
      <c r="C119" s="391"/>
      <c r="D119" s="386"/>
      <c r="E119" s="387"/>
      <c r="F119" s="387"/>
      <c r="G119" s="391"/>
      <c r="H119" s="389"/>
      <c r="I119" s="389"/>
      <c r="J119" s="389"/>
      <c r="K119" s="389"/>
      <c r="L119" s="389"/>
      <c r="M119" s="389"/>
      <c r="N119" s="389"/>
      <c r="O119" s="389"/>
      <c r="P119" s="389"/>
      <c r="Q119" s="389"/>
      <c r="R119" s="389"/>
      <c r="S119" s="389"/>
      <c r="T119" s="389"/>
      <c r="U119" s="389"/>
      <c r="V119" s="389"/>
      <c r="W119" s="389"/>
      <c r="X119" s="389"/>
      <c r="Y119" s="389"/>
      <c r="Z119" s="389">
        <f t="shared" si="18"/>
        <v>0</v>
      </c>
      <c r="AA119" s="389"/>
      <c r="AB119" s="389"/>
      <c r="AC119" s="389"/>
      <c r="AD119" s="389"/>
      <c r="AE119" s="389"/>
      <c r="AF119" s="389">
        <f t="shared" si="26"/>
        <v>0</v>
      </c>
      <c r="AG119" s="389"/>
      <c r="AH119" s="389"/>
      <c r="AI119" s="389"/>
    </row>
    <row r="120" spans="2:35" ht="15" customHeight="1" hidden="1">
      <c r="B120" s="391"/>
      <c r="C120" s="391"/>
      <c r="D120" s="386"/>
      <c r="E120" s="387"/>
      <c r="F120" s="387"/>
      <c r="G120" s="391"/>
      <c r="H120" s="389"/>
      <c r="I120" s="389"/>
      <c r="J120" s="389"/>
      <c r="K120" s="389"/>
      <c r="L120" s="389"/>
      <c r="M120" s="389"/>
      <c r="N120" s="389"/>
      <c r="O120" s="389"/>
      <c r="P120" s="389"/>
      <c r="Q120" s="389"/>
      <c r="R120" s="389"/>
      <c r="S120" s="389"/>
      <c r="T120" s="389"/>
      <c r="U120" s="389"/>
      <c r="V120" s="389"/>
      <c r="W120" s="389"/>
      <c r="X120" s="389"/>
      <c r="Y120" s="389"/>
      <c r="Z120" s="389">
        <f t="shared" si="18"/>
        <v>0</v>
      </c>
      <c r="AA120" s="389"/>
      <c r="AB120" s="389"/>
      <c r="AC120" s="389"/>
      <c r="AD120" s="389"/>
      <c r="AE120" s="389"/>
      <c r="AF120" s="389">
        <f t="shared" si="26"/>
        <v>0</v>
      </c>
      <c r="AG120" s="389"/>
      <c r="AH120" s="389"/>
      <c r="AI120" s="389"/>
    </row>
    <row r="121" spans="2:35" ht="15" customHeight="1" hidden="1">
      <c r="B121" s="391"/>
      <c r="C121" s="391"/>
      <c r="D121" s="386"/>
      <c r="E121" s="387"/>
      <c r="F121" s="387"/>
      <c r="G121" s="391"/>
      <c r="H121" s="389"/>
      <c r="I121" s="389"/>
      <c r="J121" s="389"/>
      <c r="K121" s="389"/>
      <c r="L121" s="389"/>
      <c r="M121" s="389"/>
      <c r="N121" s="389"/>
      <c r="O121" s="389"/>
      <c r="P121" s="389"/>
      <c r="Q121" s="389"/>
      <c r="R121" s="389"/>
      <c r="S121" s="389"/>
      <c r="T121" s="389"/>
      <c r="U121" s="389"/>
      <c r="V121" s="389"/>
      <c r="W121" s="389"/>
      <c r="X121" s="389"/>
      <c r="Y121" s="389"/>
      <c r="Z121" s="389">
        <f t="shared" si="18"/>
        <v>0</v>
      </c>
      <c r="AA121" s="389"/>
      <c r="AB121" s="389"/>
      <c r="AC121" s="389"/>
      <c r="AD121" s="389"/>
      <c r="AE121" s="389"/>
      <c r="AF121" s="389">
        <f t="shared" si="26"/>
        <v>0</v>
      </c>
      <c r="AG121" s="389"/>
      <c r="AH121" s="389"/>
      <c r="AI121" s="389"/>
    </row>
    <row r="122" spans="2:35" ht="15" customHeight="1" hidden="1">
      <c r="B122" s="383"/>
      <c r="C122" s="383">
        <f>'[1]GASTOS MATRIZ'!B116</f>
        <v>350</v>
      </c>
      <c r="D122" s="381"/>
      <c r="E122" s="390"/>
      <c r="F122" s="390"/>
      <c r="G122" s="383" t="str">
        <f>'[1]GASTOS MATRIZ'!F116</f>
        <v>Productos e Instrumentales Químic. y Medicinales</v>
      </c>
      <c r="H122" s="382">
        <f aca="true" t="shared" si="28" ref="H122:M122">SUM(H123:H125)</f>
        <v>0</v>
      </c>
      <c r="I122" s="382">
        <f t="shared" si="28"/>
        <v>0</v>
      </c>
      <c r="J122" s="382">
        <f t="shared" si="28"/>
        <v>0</v>
      </c>
      <c r="K122" s="382">
        <f t="shared" si="28"/>
        <v>0</v>
      </c>
      <c r="L122" s="382">
        <f t="shared" si="28"/>
        <v>0</v>
      </c>
      <c r="M122" s="382">
        <f t="shared" si="28"/>
        <v>0</v>
      </c>
      <c r="N122" s="382"/>
      <c r="O122" s="382">
        <f>SUM(E122:J122)</f>
        <v>0</v>
      </c>
      <c r="P122" s="382"/>
      <c r="Q122" s="382"/>
      <c r="R122" s="382"/>
      <c r="S122" s="382"/>
      <c r="T122" s="382">
        <f>SUM(K122:P122)</f>
        <v>0</v>
      </c>
      <c r="U122" s="382">
        <f>SUM(U123:U125)</f>
        <v>0</v>
      </c>
      <c r="V122" s="382">
        <f>SUM(V123:V125)</f>
        <v>0</v>
      </c>
      <c r="W122" s="382">
        <f>SUM(W123:W125)</f>
        <v>0</v>
      </c>
      <c r="X122" s="382">
        <f>SUM(X123:X125)</f>
        <v>0</v>
      </c>
      <c r="Y122" s="382">
        <f>SUM(U122:X122)</f>
        <v>0</v>
      </c>
      <c r="Z122" s="382">
        <f t="shared" si="18"/>
        <v>0</v>
      </c>
      <c r="AA122" s="382">
        <f>SUM(AA123:AA125)</f>
        <v>0</v>
      </c>
      <c r="AB122" s="382">
        <f>SUM(AB123:AB125)</f>
        <v>0</v>
      </c>
      <c r="AC122" s="382">
        <f>SUM(AC123:AC125)</f>
        <v>0</v>
      </c>
      <c r="AD122" s="382">
        <f>SUM(AD123:AD125)</f>
        <v>0</v>
      </c>
      <c r="AE122" s="382">
        <f>SUM(AA122:AD122)</f>
        <v>0</v>
      </c>
      <c r="AF122" s="382">
        <f t="shared" si="26"/>
        <v>0</v>
      </c>
      <c r="AG122" s="382">
        <f>SUM(AG123:AG125)</f>
        <v>0</v>
      </c>
      <c r="AH122" s="382">
        <f>SUM(AH123:AH125)</f>
        <v>0</v>
      </c>
      <c r="AI122" s="382">
        <f>SUM(AI123:AI125)</f>
        <v>0</v>
      </c>
    </row>
    <row r="123" spans="2:35" ht="15" customHeight="1" hidden="1">
      <c r="B123" s="391"/>
      <c r="C123" s="391"/>
      <c r="D123" s="386"/>
      <c r="E123" s="387"/>
      <c r="F123" s="387"/>
      <c r="G123" s="391"/>
      <c r="H123" s="389"/>
      <c r="I123" s="389"/>
      <c r="J123" s="389"/>
      <c r="K123" s="389"/>
      <c r="L123" s="389"/>
      <c r="M123" s="389"/>
      <c r="N123" s="389"/>
      <c r="O123" s="389"/>
      <c r="P123" s="389"/>
      <c r="Q123" s="389"/>
      <c r="R123" s="389"/>
      <c r="S123" s="389"/>
      <c r="T123" s="389"/>
      <c r="U123" s="389"/>
      <c r="V123" s="389"/>
      <c r="W123" s="389"/>
      <c r="X123" s="389"/>
      <c r="Y123" s="389"/>
      <c r="Z123" s="389">
        <f t="shared" si="18"/>
        <v>0</v>
      </c>
      <c r="AA123" s="389"/>
      <c r="AB123" s="389"/>
      <c r="AC123" s="389"/>
      <c r="AD123" s="389"/>
      <c r="AE123" s="389"/>
      <c r="AF123" s="389">
        <f t="shared" si="26"/>
        <v>0</v>
      </c>
      <c r="AG123" s="389"/>
      <c r="AH123" s="389"/>
      <c r="AI123" s="389"/>
    </row>
    <row r="124" spans="2:35" ht="15" customHeight="1" hidden="1">
      <c r="B124" s="391"/>
      <c r="C124" s="391"/>
      <c r="D124" s="386"/>
      <c r="E124" s="387"/>
      <c r="F124" s="387"/>
      <c r="G124" s="391"/>
      <c r="H124" s="389"/>
      <c r="I124" s="389"/>
      <c r="J124" s="389"/>
      <c r="K124" s="389"/>
      <c r="L124" s="389"/>
      <c r="M124" s="389"/>
      <c r="N124" s="389"/>
      <c r="O124" s="389"/>
      <c r="P124" s="389"/>
      <c r="Q124" s="389"/>
      <c r="R124" s="389"/>
      <c r="S124" s="389"/>
      <c r="T124" s="389"/>
      <c r="U124" s="389"/>
      <c r="V124" s="389"/>
      <c r="W124" s="389"/>
      <c r="X124" s="389"/>
      <c r="Y124" s="389"/>
      <c r="Z124" s="389">
        <f t="shared" si="18"/>
        <v>0</v>
      </c>
      <c r="AA124" s="389"/>
      <c r="AB124" s="389"/>
      <c r="AC124" s="389"/>
      <c r="AD124" s="389"/>
      <c r="AE124" s="389"/>
      <c r="AF124" s="389">
        <f t="shared" si="26"/>
        <v>0</v>
      </c>
      <c r="AG124" s="389"/>
      <c r="AH124" s="389"/>
      <c r="AI124" s="389"/>
    </row>
    <row r="125" spans="2:35" ht="9" customHeight="1">
      <c r="B125" s="391"/>
      <c r="C125" s="391"/>
      <c r="D125" s="386"/>
      <c r="E125" s="387"/>
      <c r="F125" s="387"/>
      <c r="G125" s="391"/>
      <c r="H125" s="389"/>
      <c r="I125" s="389"/>
      <c r="J125" s="389"/>
      <c r="K125" s="389"/>
      <c r="L125" s="389"/>
      <c r="M125" s="389"/>
      <c r="N125" s="389"/>
      <c r="O125" s="389"/>
      <c r="P125" s="389"/>
      <c r="Q125" s="389"/>
      <c r="R125" s="389"/>
      <c r="S125" s="389"/>
      <c r="T125" s="389"/>
      <c r="U125" s="389"/>
      <c r="V125" s="389"/>
      <c r="W125" s="389"/>
      <c r="X125" s="389"/>
      <c r="Y125" s="389"/>
      <c r="Z125" s="389">
        <f t="shared" si="18"/>
        <v>0</v>
      </c>
      <c r="AA125" s="389"/>
      <c r="AB125" s="389"/>
      <c r="AC125" s="389"/>
      <c r="AD125" s="389"/>
      <c r="AE125" s="389"/>
      <c r="AF125" s="389">
        <f t="shared" si="26"/>
        <v>0</v>
      </c>
      <c r="AG125" s="389"/>
      <c r="AH125" s="389"/>
      <c r="AI125" s="389"/>
    </row>
    <row r="126" spans="2:35" ht="14.25">
      <c r="B126" s="383"/>
      <c r="C126" s="383">
        <f>'[1]GASTOS MATRIZ'!B120</f>
        <v>360</v>
      </c>
      <c r="D126" s="381"/>
      <c r="E126" s="390"/>
      <c r="F126" s="390"/>
      <c r="G126" s="383" t="str">
        <f>'[1]GASTOS MATRIZ'!F120</f>
        <v>Combustibles y Lubricantes</v>
      </c>
      <c r="H126" s="382">
        <f aca="true" t="shared" si="29" ref="H126:AI126">SUM(H127:H131)</f>
        <v>132054906</v>
      </c>
      <c r="I126" s="382">
        <f t="shared" si="29"/>
        <v>-68209856</v>
      </c>
      <c r="J126" s="382">
        <f t="shared" si="29"/>
        <v>63845050</v>
      </c>
      <c r="K126" s="382">
        <f t="shared" si="29"/>
        <v>0</v>
      </c>
      <c r="L126" s="382">
        <f t="shared" si="29"/>
        <v>0</v>
      </c>
      <c r="M126" s="382">
        <f t="shared" si="29"/>
        <v>0</v>
      </c>
      <c r="N126" s="382">
        <f t="shared" si="29"/>
        <v>0</v>
      </c>
      <c r="O126" s="382">
        <f t="shared" si="29"/>
        <v>0</v>
      </c>
      <c r="P126" s="382">
        <f t="shared" si="29"/>
        <v>0</v>
      </c>
      <c r="Q126" s="382">
        <f t="shared" si="29"/>
        <v>25000000</v>
      </c>
      <c r="R126" s="382">
        <f t="shared" si="29"/>
        <v>0</v>
      </c>
      <c r="S126" s="382">
        <f t="shared" si="29"/>
        <v>30000000</v>
      </c>
      <c r="T126" s="382">
        <f t="shared" si="29"/>
        <v>0</v>
      </c>
      <c r="U126" s="382">
        <f t="shared" si="29"/>
        <v>0</v>
      </c>
      <c r="V126" s="382">
        <f t="shared" si="29"/>
        <v>0</v>
      </c>
      <c r="W126" s="382">
        <f t="shared" si="29"/>
        <v>0</v>
      </c>
      <c r="X126" s="382">
        <f t="shared" si="29"/>
        <v>0</v>
      </c>
      <c r="Y126" s="382">
        <f t="shared" si="29"/>
        <v>0</v>
      </c>
      <c r="Z126" s="382">
        <f t="shared" si="29"/>
        <v>0</v>
      </c>
      <c r="AA126" s="382">
        <f t="shared" si="29"/>
        <v>0</v>
      </c>
      <c r="AB126" s="382">
        <f t="shared" si="29"/>
        <v>0</v>
      </c>
      <c r="AC126" s="382">
        <f t="shared" si="29"/>
        <v>0</v>
      </c>
      <c r="AD126" s="382">
        <f t="shared" si="29"/>
        <v>0</v>
      </c>
      <c r="AE126" s="382">
        <f t="shared" si="29"/>
        <v>0</v>
      </c>
      <c r="AF126" s="382">
        <f t="shared" si="26"/>
        <v>55000000</v>
      </c>
      <c r="AG126" s="382">
        <f t="shared" si="29"/>
        <v>8845050</v>
      </c>
      <c r="AH126" s="382">
        <f t="shared" si="29"/>
        <v>55000000</v>
      </c>
      <c r="AI126" s="382">
        <f t="shared" si="29"/>
        <v>0</v>
      </c>
    </row>
    <row r="127" spans="2:35" ht="14.25">
      <c r="B127" s="391"/>
      <c r="C127" s="391"/>
      <c r="D127" s="386">
        <f>'[1]GASTOS MATRIZ'!C121</f>
        <v>360</v>
      </c>
      <c r="E127" s="387" t="str">
        <f>'[1]GASTOS MATRIZ'!D121</f>
        <v>30</v>
      </c>
      <c r="F127" s="387" t="str">
        <f>'[1]GASTOS MATRIZ'!E121</f>
        <v>011</v>
      </c>
      <c r="G127" s="391" t="str">
        <f>'[1]GASTOS MATRIZ'!F121</f>
        <v>Combustibles y Lubricantes</v>
      </c>
      <c r="H127" s="389">
        <f>'[1]GASTOS MATRIZ'!G121</f>
        <v>132054906</v>
      </c>
      <c r="I127" s="389">
        <v>-68209856</v>
      </c>
      <c r="J127" s="389">
        <f>H127+I127</f>
        <v>63845050</v>
      </c>
      <c r="K127" s="389">
        <f>'[1]RESU X MES'!H112</f>
        <v>0</v>
      </c>
      <c r="L127" s="389">
        <f>'[1]RESU X MES'!H370</f>
        <v>0</v>
      </c>
      <c r="M127" s="389">
        <f>'[1]RESU X MES'!H629</f>
        <v>0</v>
      </c>
      <c r="N127" s="389">
        <v>0</v>
      </c>
      <c r="O127" s="389">
        <f>+K127+L127+M127+N127</f>
        <v>0</v>
      </c>
      <c r="P127" s="389">
        <v>0</v>
      </c>
      <c r="Q127" s="389">
        <v>25000000</v>
      </c>
      <c r="R127" s="389">
        <v>0</v>
      </c>
      <c r="S127" s="389">
        <v>30000000</v>
      </c>
      <c r="T127" s="389">
        <f>SUM(K127:P127)</f>
        <v>0</v>
      </c>
      <c r="U127" s="389">
        <f>'[1]RESU X MES'!H1153</f>
        <v>0</v>
      </c>
      <c r="V127" s="389">
        <f>'[1]RESU X MES'!H1415</f>
        <v>0</v>
      </c>
      <c r="W127" s="389">
        <f>'[1]RESU X MES'!H1678</f>
        <v>0</v>
      </c>
      <c r="X127" s="389">
        <f>'[1]RESU X MES'!H1939</f>
        <v>0</v>
      </c>
      <c r="Y127" s="389">
        <f>SUM(U127:X127)</f>
        <v>0</v>
      </c>
      <c r="Z127" s="389">
        <f t="shared" si="18"/>
        <v>0</v>
      </c>
      <c r="AA127" s="389">
        <f>'[1]RESU X MES'!H2198</f>
        <v>0</v>
      </c>
      <c r="AB127" s="389">
        <f>'[1]RESU X MES'!H2460</f>
        <v>0</v>
      </c>
      <c r="AC127" s="389">
        <f>'[1]RESU X MES'!H2722</f>
        <v>0</v>
      </c>
      <c r="AD127" s="389">
        <f>'[1]RESU X MES'!H2985</f>
        <v>0</v>
      </c>
      <c r="AE127" s="389">
        <f>SUM(AA127:AD127)</f>
        <v>0</v>
      </c>
      <c r="AF127" s="389">
        <f t="shared" si="26"/>
        <v>55000000</v>
      </c>
      <c r="AG127" s="389">
        <f>J127-AF127</f>
        <v>8845050</v>
      </c>
      <c r="AH127" s="389">
        <f>AF127-AI127</f>
        <v>55000000</v>
      </c>
      <c r="AI127" s="389">
        <f>'[1]RESU X MES'!N112+'[1]RESU X MES'!N370+'[1]RESU X MES'!N629+'[1]RESU X MES'!N892+'[1]RESU X MES'!N1153+'[1]RESU X MES'!N1415+'[1]RESU X MES'!N1678+'[1]RESU X MES'!N1939+'[1]RESU X MES'!N2198+'[1]RESU X MES'!N2460+'[1]RESU X MES'!N2722+'[1]RESU X MES'!N2985</f>
        <v>0</v>
      </c>
    </row>
    <row r="128" spans="2:35" ht="15" customHeight="1" hidden="1">
      <c r="B128" s="391"/>
      <c r="C128" s="391"/>
      <c r="D128" s="386"/>
      <c r="E128" s="387"/>
      <c r="F128" s="387"/>
      <c r="G128" s="391"/>
      <c r="H128" s="389"/>
      <c r="I128" s="389"/>
      <c r="J128" s="389"/>
      <c r="K128" s="389"/>
      <c r="L128" s="389"/>
      <c r="M128" s="389"/>
      <c r="N128" s="389"/>
      <c r="O128" s="389"/>
      <c r="P128" s="389"/>
      <c r="Q128" s="389"/>
      <c r="R128" s="389"/>
      <c r="S128" s="389"/>
      <c r="T128" s="389"/>
      <c r="U128" s="389"/>
      <c r="V128" s="389"/>
      <c r="W128" s="389"/>
      <c r="X128" s="389"/>
      <c r="Y128" s="389"/>
      <c r="Z128" s="389">
        <f t="shared" si="18"/>
        <v>0</v>
      </c>
      <c r="AA128" s="389"/>
      <c r="AB128" s="389"/>
      <c r="AC128" s="389"/>
      <c r="AD128" s="389"/>
      <c r="AE128" s="389"/>
      <c r="AF128" s="389">
        <f t="shared" si="26"/>
        <v>0</v>
      </c>
      <c r="AG128" s="389"/>
      <c r="AH128" s="389"/>
      <c r="AI128" s="389"/>
    </row>
    <row r="129" spans="2:35" ht="15" customHeight="1" hidden="1">
      <c r="B129" s="391"/>
      <c r="C129" s="391"/>
      <c r="D129" s="386"/>
      <c r="E129" s="387"/>
      <c r="F129" s="387"/>
      <c r="G129" s="391"/>
      <c r="H129" s="389"/>
      <c r="I129" s="389"/>
      <c r="J129" s="389"/>
      <c r="K129" s="389"/>
      <c r="L129" s="389"/>
      <c r="M129" s="389"/>
      <c r="N129" s="389"/>
      <c r="O129" s="389"/>
      <c r="P129" s="389"/>
      <c r="Q129" s="389"/>
      <c r="R129" s="389"/>
      <c r="S129" s="389"/>
      <c r="T129" s="389"/>
      <c r="U129" s="389"/>
      <c r="V129" s="389"/>
      <c r="W129" s="389"/>
      <c r="X129" s="389"/>
      <c r="Y129" s="389"/>
      <c r="Z129" s="389">
        <f t="shared" si="18"/>
        <v>0</v>
      </c>
      <c r="AA129" s="389"/>
      <c r="AB129" s="389"/>
      <c r="AC129" s="389"/>
      <c r="AD129" s="389"/>
      <c r="AE129" s="389"/>
      <c r="AF129" s="389">
        <f t="shared" si="26"/>
        <v>0</v>
      </c>
      <c r="AG129" s="389"/>
      <c r="AH129" s="389"/>
      <c r="AI129" s="389"/>
    </row>
    <row r="130" spans="2:35" ht="15" customHeight="1" hidden="1">
      <c r="B130" s="391"/>
      <c r="C130" s="391"/>
      <c r="D130" s="386"/>
      <c r="E130" s="387"/>
      <c r="F130" s="387"/>
      <c r="G130" s="391"/>
      <c r="H130" s="389"/>
      <c r="I130" s="389"/>
      <c r="J130" s="389"/>
      <c r="K130" s="389"/>
      <c r="L130" s="389"/>
      <c r="M130" s="389"/>
      <c r="N130" s="389"/>
      <c r="O130" s="389"/>
      <c r="P130" s="389"/>
      <c r="Q130" s="389"/>
      <c r="R130" s="389"/>
      <c r="S130" s="389"/>
      <c r="T130" s="389"/>
      <c r="U130" s="389"/>
      <c r="V130" s="389"/>
      <c r="W130" s="389"/>
      <c r="X130" s="389"/>
      <c r="Y130" s="389"/>
      <c r="Z130" s="389">
        <f t="shared" si="18"/>
        <v>0</v>
      </c>
      <c r="AA130" s="389"/>
      <c r="AB130" s="389"/>
      <c r="AC130" s="389"/>
      <c r="AD130" s="389"/>
      <c r="AE130" s="389"/>
      <c r="AF130" s="389">
        <f t="shared" si="26"/>
        <v>0</v>
      </c>
      <c r="AG130" s="389"/>
      <c r="AH130" s="389"/>
      <c r="AI130" s="389"/>
    </row>
    <row r="131" spans="2:35" ht="10.5" customHeight="1">
      <c r="B131" s="391"/>
      <c r="C131" s="391"/>
      <c r="D131" s="386"/>
      <c r="E131" s="387"/>
      <c r="F131" s="387"/>
      <c r="G131" s="391"/>
      <c r="H131" s="389"/>
      <c r="I131" s="389"/>
      <c r="J131" s="389"/>
      <c r="K131" s="389"/>
      <c r="L131" s="389"/>
      <c r="M131" s="389"/>
      <c r="N131" s="389"/>
      <c r="O131" s="389"/>
      <c r="P131" s="389"/>
      <c r="Q131" s="389"/>
      <c r="R131" s="389"/>
      <c r="S131" s="389"/>
      <c r="T131" s="389"/>
      <c r="U131" s="389"/>
      <c r="V131" s="389"/>
      <c r="W131" s="389"/>
      <c r="X131" s="389"/>
      <c r="Y131" s="389"/>
      <c r="Z131" s="389">
        <f t="shared" si="18"/>
        <v>0</v>
      </c>
      <c r="AA131" s="389"/>
      <c r="AB131" s="389"/>
      <c r="AC131" s="389"/>
      <c r="AD131" s="389"/>
      <c r="AE131" s="389"/>
      <c r="AF131" s="389">
        <f t="shared" si="26"/>
        <v>0</v>
      </c>
      <c r="AG131" s="389"/>
      <c r="AH131" s="389"/>
      <c r="AI131" s="389"/>
    </row>
    <row r="132" spans="2:35" ht="14.25">
      <c r="B132" s="383"/>
      <c r="C132" s="383">
        <f>'[1]GASTOS MATRIZ'!B126</f>
        <v>390</v>
      </c>
      <c r="D132" s="381"/>
      <c r="E132" s="390"/>
      <c r="F132" s="390"/>
      <c r="G132" s="383" t="str">
        <f>'[1]GASTOS MATRIZ'!F126</f>
        <v>Otros Bienes de Consumo</v>
      </c>
      <c r="H132" s="382">
        <f aca="true" t="shared" si="30" ref="H132:M132">SUM(H133:H137)</f>
        <v>0</v>
      </c>
      <c r="I132" s="382">
        <f t="shared" si="30"/>
        <v>0</v>
      </c>
      <c r="J132" s="382">
        <f t="shared" si="30"/>
        <v>0</v>
      </c>
      <c r="K132" s="382">
        <f t="shared" si="30"/>
        <v>0</v>
      </c>
      <c r="L132" s="382">
        <f t="shared" si="30"/>
        <v>0</v>
      </c>
      <c r="M132" s="382">
        <f t="shared" si="30"/>
        <v>0</v>
      </c>
      <c r="N132" s="382">
        <v>0</v>
      </c>
      <c r="O132" s="382">
        <f>SUM(E132:J132)</f>
        <v>0</v>
      </c>
      <c r="P132" s="382">
        <v>0</v>
      </c>
      <c r="Q132" s="382">
        <v>0</v>
      </c>
      <c r="R132" s="382"/>
      <c r="S132" s="382"/>
      <c r="T132" s="382">
        <f>SUM(K132:P132)</f>
        <v>0</v>
      </c>
      <c r="U132" s="382">
        <f>SUM(U133:U137)</f>
        <v>0</v>
      </c>
      <c r="V132" s="382">
        <f>SUM(V133:V137)</f>
        <v>0</v>
      </c>
      <c r="W132" s="382">
        <f>SUM(W133:W137)</f>
        <v>0</v>
      </c>
      <c r="X132" s="382">
        <f>SUM(X133:X137)</f>
        <v>0</v>
      </c>
      <c r="Y132" s="382">
        <f>SUM(U132:X132)</f>
        <v>0</v>
      </c>
      <c r="Z132" s="382">
        <f t="shared" si="18"/>
        <v>0</v>
      </c>
      <c r="AA132" s="382">
        <f>SUM(AA133:AA137)</f>
        <v>0</v>
      </c>
      <c r="AB132" s="382">
        <f>SUM(AB133:AB137)</f>
        <v>0</v>
      </c>
      <c r="AC132" s="382">
        <f>SUM(AC133:AC137)</f>
        <v>0</v>
      </c>
      <c r="AD132" s="382">
        <f>SUM(AD133:AD137)</f>
        <v>0</v>
      </c>
      <c r="AE132" s="382">
        <f>SUM(AA132:AD132)</f>
        <v>0</v>
      </c>
      <c r="AF132" s="382">
        <f t="shared" si="26"/>
        <v>0</v>
      </c>
      <c r="AG132" s="382">
        <f>SUM(AG133:AG137)</f>
        <v>0</v>
      </c>
      <c r="AH132" s="382">
        <f>SUM(AH133:AH137)</f>
        <v>0</v>
      </c>
      <c r="AI132" s="382">
        <f>SUM(AI133:AI137)</f>
        <v>0</v>
      </c>
    </row>
    <row r="133" spans="2:35" ht="14.25">
      <c r="B133" s="391"/>
      <c r="C133" s="391"/>
      <c r="D133" s="386">
        <f>'[1]GASTOS MATRIZ'!C127</f>
        <v>390</v>
      </c>
      <c r="E133" s="387" t="str">
        <f>'[1]GASTOS MATRIZ'!D127</f>
        <v>30</v>
      </c>
      <c r="F133" s="387" t="str">
        <f>'[1]GASTOS MATRIZ'!E127</f>
        <v>011</v>
      </c>
      <c r="G133" s="391" t="str">
        <f>'[1]GASTOS MATRIZ'!F127</f>
        <v>Otros Bienes de Consumo</v>
      </c>
      <c r="H133" s="389">
        <f>'[1]GASTOS MATRIZ'!G127</f>
        <v>0</v>
      </c>
      <c r="I133" s="389">
        <f>'[1]GASTOS MATRIZ'!H127</f>
        <v>0</v>
      </c>
      <c r="J133" s="389">
        <f>H133+I133</f>
        <v>0</v>
      </c>
      <c r="K133" s="389">
        <f>'[1]RESU X MES'!H118</f>
        <v>0</v>
      </c>
      <c r="L133" s="389">
        <f>'[1]RESU X MES'!H376</f>
        <v>0</v>
      </c>
      <c r="M133" s="389">
        <f>'[1]RESU X MES'!H635</f>
        <v>0</v>
      </c>
      <c r="N133" s="389">
        <v>0</v>
      </c>
      <c r="O133" s="389">
        <f>SUM(E133:J133)</f>
        <v>0</v>
      </c>
      <c r="P133" s="389">
        <v>0</v>
      </c>
      <c r="Q133" s="389">
        <v>0</v>
      </c>
      <c r="R133" s="389"/>
      <c r="S133" s="389"/>
      <c r="T133" s="389">
        <f>SUM(K133:P133)</f>
        <v>0</v>
      </c>
      <c r="U133" s="389">
        <f>'[1]RESU X MES'!H1159</f>
        <v>0</v>
      </c>
      <c r="V133" s="389">
        <f>'[1]RESU X MES'!H1421</f>
        <v>0</v>
      </c>
      <c r="W133" s="389">
        <f>'[1]RESU X MES'!H1684</f>
        <v>0</v>
      </c>
      <c r="X133" s="389">
        <f>'[1]RESU X MES'!H1945</f>
        <v>0</v>
      </c>
      <c r="Y133" s="389">
        <f>SUM(U133:X133)</f>
        <v>0</v>
      </c>
      <c r="Z133" s="389">
        <f t="shared" si="18"/>
        <v>0</v>
      </c>
      <c r="AA133" s="389">
        <f>'[1]RESU X MES'!H2204</f>
        <v>0</v>
      </c>
      <c r="AB133" s="389">
        <f>'[1]RESU X MES'!H2466</f>
        <v>0</v>
      </c>
      <c r="AC133" s="389">
        <f>'[1]RESU X MES'!H2728</f>
        <v>0</v>
      </c>
      <c r="AD133" s="389">
        <f>'[1]RESU X MES'!H2991</f>
        <v>0</v>
      </c>
      <c r="AE133" s="389">
        <f>SUM(AA133:AD133)</f>
        <v>0</v>
      </c>
      <c r="AF133" s="389">
        <f t="shared" si="26"/>
        <v>0</v>
      </c>
      <c r="AG133" s="389">
        <f>J133-AF133</f>
        <v>0</v>
      </c>
      <c r="AH133" s="389">
        <f>AF133-AI133</f>
        <v>0</v>
      </c>
      <c r="AI133" s="389">
        <f>'[1]RESU X MES'!N118+'[1]RESU X MES'!N376+'[1]RESU X MES'!N635+'[1]RESU X MES'!N898+'[1]RESU X MES'!N1159+'[1]RESU X MES'!N1421+'[1]RESU X MES'!N1684+'[1]RESU X MES'!N1945+'[1]RESU X MES'!N2204+'[1]RESU X MES'!N2466+'[1]RESU X MES'!N2728+'[1]RESU X MES'!N2991</f>
        <v>0</v>
      </c>
    </row>
    <row r="134" spans="2:35" ht="15" customHeight="1" hidden="1">
      <c r="B134" s="391"/>
      <c r="C134" s="391"/>
      <c r="D134" s="386"/>
      <c r="E134" s="387"/>
      <c r="F134" s="387"/>
      <c r="G134" s="391"/>
      <c r="H134" s="389"/>
      <c r="I134" s="389"/>
      <c r="J134" s="389"/>
      <c r="K134" s="389"/>
      <c r="L134" s="389"/>
      <c r="M134" s="389"/>
      <c r="N134" s="389"/>
      <c r="O134" s="389"/>
      <c r="P134" s="389"/>
      <c r="Q134" s="389"/>
      <c r="R134" s="389"/>
      <c r="S134" s="389"/>
      <c r="T134" s="389"/>
      <c r="U134" s="389"/>
      <c r="V134" s="389"/>
      <c r="W134" s="389"/>
      <c r="X134" s="389"/>
      <c r="Y134" s="389"/>
      <c r="Z134" s="389">
        <f t="shared" si="18"/>
        <v>0</v>
      </c>
      <c r="AA134" s="389"/>
      <c r="AB134" s="389"/>
      <c r="AC134" s="389"/>
      <c r="AD134" s="389"/>
      <c r="AE134" s="389"/>
      <c r="AF134" s="389">
        <f t="shared" si="26"/>
        <v>0</v>
      </c>
      <c r="AG134" s="389"/>
      <c r="AH134" s="389"/>
      <c r="AI134" s="389"/>
    </row>
    <row r="135" spans="2:35" ht="15" customHeight="1" hidden="1">
      <c r="B135" s="391"/>
      <c r="C135" s="391"/>
      <c r="D135" s="386"/>
      <c r="E135" s="387"/>
      <c r="F135" s="387"/>
      <c r="G135" s="391"/>
      <c r="H135" s="389"/>
      <c r="I135" s="389"/>
      <c r="J135" s="389"/>
      <c r="K135" s="389"/>
      <c r="L135" s="389"/>
      <c r="M135" s="389"/>
      <c r="N135" s="389"/>
      <c r="O135" s="389"/>
      <c r="P135" s="389"/>
      <c r="Q135" s="389"/>
      <c r="R135" s="389"/>
      <c r="S135" s="389"/>
      <c r="T135" s="389"/>
      <c r="U135" s="389"/>
      <c r="V135" s="389"/>
      <c r="W135" s="389"/>
      <c r="X135" s="389"/>
      <c r="Y135" s="389"/>
      <c r="Z135" s="389">
        <f t="shared" si="18"/>
        <v>0</v>
      </c>
      <c r="AA135" s="389"/>
      <c r="AB135" s="389"/>
      <c r="AC135" s="389"/>
      <c r="AD135" s="389"/>
      <c r="AE135" s="389"/>
      <c r="AF135" s="389">
        <f t="shared" si="26"/>
        <v>0</v>
      </c>
      <c r="AG135" s="389"/>
      <c r="AH135" s="389"/>
      <c r="AI135" s="389"/>
    </row>
    <row r="136" spans="2:35" ht="15" customHeight="1" hidden="1">
      <c r="B136" s="391"/>
      <c r="C136" s="391"/>
      <c r="D136" s="386"/>
      <c r="E136" s="387"/>
      <c r="F136" s="387"/>
      <c r="G136" s="391"/>
      <c r="H136" s="389"/>
      <c r="I136" s="389"/>
      <c r="J136" s="389"/>
      <c r="K136" s="389"/>
      <c r="L136" s="389"/>
      <c r="M136" s="389"/>
      <c r="N136" s="389"/>
      <c r="O136" s="389"/>
      <c r="P136" s="389"/>
      <c r="Q136" s="389"/>
      <c r="R136" s="389"/>
      <c r="S136" s="389"/>
      <c r="T136" s="389"/>
      <c r="U136" s="389"/>
      <c r="V136" s="389"/>
      <c r="W136" s="389"/>
      <c r="X136" s="389"/>
      <c r="Y136" s="389"/>
      <c r="Z136" s="389">
        <f t="shared" si="18"/>
        <v>0</v>
      </c>
      <c r="AA136" s="389"/>
      <c r="AB136" s="389"/>
      <c r="AC136" s="389"/>
      <c r="AD136" s="389"/>
      <c r="AE136" s="389"/>
      <c r="AF136" s="389">
        <f t="shared" si="26"/>
        <v>0</v>
      </c>
      <c r="AG136" s="389"/>
      <c r="AH136" s="389"/>
      <c r="AI136" s="389"/>
    </row>
    <row r="137" spans="2:35" ht="15" customHeight="1" hidden="1">
      <c r="B137" s="391"/>
      <c r="C137" s="391"/>
      <c r="D137" s="386"/>
      <c r="E137" s="387"/>
      <c r="F137" s="387"/>
      <c r="G137" s="391"/>
      <c r="H137" s="389"/>
      <c r="I137" s="389"/>
      <c r="J137" s="389"/>
      <c r="K137" s="389"/>
      <c r="L137" s="389"/>
      <c r="M137" s="389"/>
      <c r="N137" s="389"/>
      <c r="O137" s="389"/>
      <c r="P137" s="389"/>
      <c r="Q137" s="389"/>
      <c r="R137" s="389"/>
      <c r="S137" s="389"/>
      <c r="T137" s="389"/>
      <c r="U137" s="389"/>
      <c r="V137" s="389"/>
      <c r="W137" s="389"/>
      <c r="X137" s="389"/>
      <c r="Y137" s="389"/>
      <c r="Z137" s="389">
        <f t="shared" si="18"/>
        <v>0</v>
      </c>
      <c r="AA137" s="389"/>
      <c r="AB137" s="389"/>
      <c r="AC137" s="389"/>
      <c r="AD137" s="389"/>
      <c r="AE137" s="389"/>
      <c r="AF137" s="389">
        <f t="shared" si="26"/>
        <v>0</v>
      </c>
      <c r="AG137" s="389"/>
      <c r="AH137" s="389"/>
      <c r="AI137" s="389"/>
    </row>
    <row r="138" spans="2:35" ht="15" customHeight="1" hidden="1">
      <c r="B138" s="381">
        <f>'[1]GASTOS MATRIZ'!A132</f>
        <v>700</v>
      </c>
      <c r="C138" s="381"/>
      <c r="D138" s="381"/>
      <c r="E138" s="390"/>
      <c r="F138" s="390"/>
      <c r="G138" s="383" t="str">
        <f>'[1]GASTOS MATRIZ'!F132</f>
        <v>SERVICIO DE LA DEUDA PÚBLICA</v>
      </c>
      <c r="H138" s="382">
        <f aca="true" t="shared" si="31" ref="H138:M139">H139</f>
        <v>0</v>
      </c>
      <c r="I138" s="382">
        <f t="shared" si="31"/>
        <v>0</v>
      </c>
      <c r="J138" s="382">
        <f t="shared" si="31"/>
        <v>0</v>
      </c>
      <c r="K138" s="382">
        <f t="shared" si="31"/>
        <v>0</v>
      </c>
      <c r="L138" s="382">
        <f t="shared" si="31"/>
        <v>0</v>
      </c>
      <c r="M138" s="382">
        <f t="shared" si="31"/>
        <v>0</v>
      </c>
      <c r="N138" s="382"/>
      <c r="O138" s="382">
        <f>SUM(E138:J138)</f>
        <v>0</v>
      </c>
      <c r="P138" s="382"/>
      <c r="Q138" s="382"/>
      <c r="R138" s="382"/>
      <c r="S138" s="382"/>
      <c r="T138" s="382">
        <f>SUM(K138:P138)</f>
        <v>0</v>
      </c>
      <c r="U138" s="382">
        <f aca="true" t="shared" si="32" ref="U138:X139">U139</f>
        <v>0</v>
      </c>
      <c r="V138" s="382">
        <f t="shared" si="32"/>
        <v>0</v>
      </c>
      <c r="W138" s="382">
        <f t="shared" si="32"/>
        <v>0</v>
      </c>
      <c r="X138" s="382">
        <f t="shared" si="32"/>
        <v>0</v>
      </c>
      <c r="Y138" s="382">
        <f>SUM(U138:X138)</f>
        <v>0</v>
      </c>
      <c r="Z138" s="382">
        <f t="shared" si="18"/>
        <v>0</v>
      </c>
      <c r="AA138" s="382">
        <f aca="true" t="shared" si="33" ref="AA138:AD139">AA139</f>
        <v>0</v>
      </c>
      <c r="AB138" s="382">
        <f t="shared" si="33"/>
        <v>0</v>
      </c>
      <c r="AC138" s="382">
        <f t="shared" si="33"/>
        <v>0</v>
      </c>
      <c r="AD138" s="382">
        <f t="shared" si="33"/>
        <v>0</v>
      </c>
      <c r="AE138" s="382">
        <f>SUM(AA138:AD138)</f>
        <v>0</v>
      </c>
      <c r="AF138" s="382">
        <f t="shared" si="26"/>
        <v>0</v>
      </c>
      <c r="AG138" s="382">
        <f aca="true" t="shared" si="34" ref="AG138:AI139">AG139</f>
        <v>0</v>
      </c>
      <c r="AH138" s="382">
        <f t="shared" si="34"/>
        <v>0</v>
      </c>
      <c r="AI138" s="382">
        <f t="shared" si="34"/>
        <v>0</v>
      </c>
    </row>
    <row r="139" spans="2:35" ht="15" customHeight="1" hidden="1">
      <c r="B139" s="383"/>
      <c r="C139" s="383">
        <f>'[1]GASTOS MATRIZ'!B133</f>
        <v>710</v>
      </c>
      <c r="D139" s="381"/>
      <c r="E139" s="390"/>
      <c r="F139" s="390"/>
      <c r="G139" s="383" t="str">
        <f>'[1]GASTOS MATRIZ'!F133</f>
        <v>Interes De la Deuda Pública Interna</v>
      </c>
      <c r="H139" s="382">
        <f t="shared" si="31"/>
        <v>0</v>
      </c>
      <c r="I139" s="382">
        <f t="shared" si="31"/>
        <v>0</v>
      </c>
      <c r="J139" s="382">
        <f t="shared" si="31"/>
        <v>0</v>
      </c>
      <c r="K139" s="382">
        <f t="shared" si="31"/>
        <v>0</v>
      </c>
      <c r="L139" s="382">
        <f t="shared" si="31"/>
        <v>0</v>
      </c>
      <c r="M139" s="382">
        <f t="shared" si="31"/>
        <v>0</v>
      </c>
      <c r="N139" s="382"/>
      <c r="O139" s="382">
        <f>SUM(E139:J139)</f>
        <v>0</v>
      </c>
      <c r="P139" s="382"/>
      <c r="Q139" s="382"/>
      <c r="R139" s="382"/>
      <c r="S139" s="382"/>
      <c r="T139" s="382">
        <f>SUM(K139:P139)</f>
        <v>0</v>
      </c>
      <c r="U139" s="382">
        <f t="shared" si="32"/>
        <v>0</v>
      </c>
      <c r="V139" s="382">
        <f t="shared" si="32"/>
        <v>0</v>
      </c>
      <c r="W139" s="382">
        <f t="shared" si="32"/>
        <v>0</v>
      </c>
      <c r="X139" s="382">
        <f t="shared" si="32"/>
        <v>0</v>
      </c>
      <c r="Y139" s="382">
        <f>SUM(U139:X139)</f>
        <v>0</v>
      </c>
      <c r="Z139" s="382">
        <f t="shared" si="18"/>
        <v>0</v>
      </c>
      <c r="AA139" s="382">
        <f t="shared" si="33"/>
        <v>0</v>
      </c>
      <c r="AB139" s="382">
        <f t="shared" si="33"/>
        <v>0</v>
      </c>
      <c r="AC139" s="382">
        <f t="shared" si="33"/>
        <v>0</v>
      </c>
      <c r="AD139" s="382">
        <f t="shared" si="33"/>
        <v>0</v>
      </c>
      <c r="AE139" s="382">
        <f>SUM(AA139:AD139)</f>
        <v>0</v>
      </c>
      <c r="AF139" s="382">
        <f t="shared" si="26"/>
        <v>0</v>
      </c>
      <c r="AG139" s="382">
        <f t="shared" si="34"/>
        <v>0</v>
      </c>
      <c r="AH139" s="382">
        <f t="shared" si="34"/>
        <v>0</v>
      </c>
      <c r="AI139" s="382">
        <f t="shared" si="34"/>
        <v>0</v>
      </c>
    </row>
    <row r="140" spans="2:35" ht="15" customHeight="1" hidden="1">
      <c r="B140" s="383"/>
      <c r="C140" s="383"/>
      <c r="D140" s="381">
        <f>'[1]GASTOS MATRIZ'!C134</f>
        <v>713</v>
      </c>
      <c r="E140" s="390"/>
      <c r="F140" s="390"/>
      <c r="G140" s="394" t="str">
        <f>'[1]GASTOS MATRIZ'!F134</f>
        <v>Interes de la Deuda con el Sector Privado</v>
      </c>
      <c r="H140" s="395">
        <f aca="true" t="shared" si="35" ref="H140:M140">SUM(H141:H142)</f>
        <v>0</v>
      </c>
      <c r="I140" s="395">
        <f t="shared" si="35"/>
        <v>0</v>
      </c>
      <c r="J140" s="395">
        <f t="shared" si="35"/>
        <v>0</v>
      </c>
      <c r="K140" s="395">
        <f t="shared" si="35"/>
        <v>0</v>
      </c>
      <c r="L140" s="395">
        <f t="shared" si="35"/>
        <v>0</v>
      </c>
      <c r="M140" s="395">
        <f t="shared" si="35"/>
        <v>0</v>
      </c>
      <c r="N140" s="395"/>
      <c r="O140" s="395">
        <f>SUM(E140:J140)</f>
        <v>0</v>
      </c>
      <c r="P140" s="395"/>
      <c r="Q140" s="395"/>
      <c r="R140" s="395"/>
      <c r="S140" s="395"/>
      <c r="T140" s="395">
        <f>SUM(K140:P140)</f>
        <v>0</v>
      </c>
      <c r="U140" s="395">
        <f>SUM(U141:U142)</f>
        <v>0</v>
      </c>
      <c r="V140" s="395">
        <f>SUM(V141:V142)</f>
        <v>0</v>
      </c>
      <c r="W140" s="395">
        <f>SUM(W141:W142)</f>
        <v>0</v>
      </c>
      <c r="X140" s="395">
        <f>SUM(X141:X142)</f>
        <v>0</v>
      </c>
      <c r="Y140" s="395">
        <f>SUM(U140:X140)</f>
        <v>0</v>
      </c>
      <c r="Z140" s="395">
        <f t="shared" si="18"/>
        <v>0</v>
      </c>
      <c r="AA140" s="395">
        <f>SUM(AA141:AA142)</f>
        <v>0</v>
      </c>
      <c r="AB140" s="395">
        <f>SUM(AB141:AB142)</f>
        <v>0</v>
      </c>
      <c r="AC140" s="395">
        <f>SUM(AC141:AC142)</f>
        <v>0</v>
      </c>
      <c r="AD140" s="395">
        <f>SUM(AD141:AD142)</f>
        <v>0</v>
      </c>
      <c r="AE140" s="395">
        <f>SUM(AA140:AD140)</f>
        <v>0</v>
      </c>
      <c r="AF140" s="395">
        <f t="shared" si="26"/>
        <v>0</v>
      </c>
      <c r="AG140" s="395">
        <f>SUM(AG141:AG142)</f>
        <v>0</v>
      </c>
      <c r="AH140" s="395">
        <f>SUM(AH141:AH142)</f>
        <v>0</v>
      </c>
      <c r="AI140" s="395">
        <f>SUM(AI141:AI142)</f>
        <v>0</v>
      </c>
    </row>
    <row r="141" spans="2:35" ht="15" customHeight="1" hidden="1">
      <c r="B141" s="396"/>
      <c r="C141" s="396"/>
      <c r="D141" s="397"/>
      <c r="E141" s="398"/>
      <c r="F141" s="398"/>
      <c r="G141" s="399"/>
      <c r="H141" s="400"/>
      <c r="I141" s="400"/>
      <c r="J141" s="400"/>
      <c r="K141" s="389"/>
      <c r="L141" s="389"/>
      <c r="M141" s="389"/>
      <c r="N141" s="389"/>
      <c r="O141" s="389"/>
      <c r="P141" s="389"/>
      <c r="Q141" s="389"/>
      <c r="R141" s="389"/>
      <c r="S141" s="389"/>
      <c r="T141" s="389"/>
      <c r="U141" s="389"/>
      <c r="V141" s="389"/>
      <c r="W141" s="389"/>
      <c r="X141" s="389"/>
      <c r="Y141" s="389"/>
      <c r="Z141" s="389">
        <f t="shared" si="18"/>
        <v>0</v>
      </c>
      <c r="AA141" s="389"/>
      <c r="AB141" s="389"/>
      <c r="AC141" s="389"/>
      <c r="AD141" s="389"/>
      <c r="AE141" s="389"/>
      <c r="AF141" s="389">
        <f t="shared" si="26"/>
        <v>0</v>
      </c>
      <c r="AG141" s="389"/>
      <c r="AH141" s="389"/>
      <c r="AI141" s="389"/>
    </row>
    <row r="142" spans="2:35" ht="15" customHeight="1" hidden="1">
      <c r="B142" s="391"/>
      <c r="C142" s="391"/>
      <c r="D142" s="386"/>
      <c r="E142" s="387"/>
      <c r="F142" s="387"/>
      <c r="G142" s="391"/>
      <c r="H142" s="389"/>
      <c r="I142" s="389"/>
      <c r="J142" s="389"/>
      <c r="K142" s="389"/>
      <c r="L142" s="389"/>
      <c r="M142" s="389"/>
      <c r="N142" s="389"/>
      <c r="O142" s="389"/>
      <c r="P142" s="389"/>
      <c r="Q142" s="389"/>
      <c r="R142" s="389"/>
      <c r="S142" s="389"/>
      <c r="T142" s="389"/>
      <c r="U142" s="389"/>
      <c r="V142" s="389"/>
      <c r="W142" s="389"/>
      <c r="X142" s="389"/>
      <c r="Y142" s="389"/>
      <c r="Z142" s="389">
        <f t="shared" si="18"/>
        <v>0</v>
      </c>
      <c r="AA142" s="389"/>
      <c r="AB142" s="389"/>
      <c r="AC142" s="389"/>
      <c r="AD142" s="389"/>
      <c r="AE142" s="389"/>
      <c r="AF142" s="389">
        <f t="shared" si="26"/>
        <v>0</v>
      </c>
      <c r="AG142" s="389"/>
      <c r="AH142" s="389"/>
      <c r="AI142" s="389"/>
    </row>
    <row r="143" spans="2:35" ht="15" customHeight="1" hidden="1">
      <c r="B143" s="381">
        <f>'[1]GASTOS MATRIZ'!A137</f>
        <v>800</v>
      </c>
      <c r="C143" s="381"/>
      <c r="D143" s="381"/>
      <c r="E143" s="390"/>
      <c r="F143" s="390"/>
      <c r="G143" s="383" t="str">
        <f>'[1]GASTOS MATRIZ'!F137</f>
        <v>TRANSFERENCIAS</v>
      </c>
      <c r="H143" s="382">
        <f aca="true" t="shared" si="36" ref="H143:M143">H144+H150+H161</f>
        <v>0</v>
      </c>
      <c r="I143" s="382">
        <f t="shared" si="36"/>
        <v>0</v>
      </c>
      <c r="J143" s="382">
        <f t="shared" si="36"/>
        <v>0</v>
      </c>
      <c r="K143" s="382">
        <f t="shared" si="36"/>
        <v>0</v>
      </c>
      <c r="L143" s="382">
        <f t="shared" si="36"/>
        <v>0</v>
      </c>
      <c r="M143" s="382">
        <f t="shared" si="36"/>
        <v>0</v>
      </c>
      <c r="N143" s="382"/>
      <c r="O143" s="382">
        <f>SUM(E143:J143)</f>
        <v>0</v>
      </c>
      <c r="P143" s="382"/>
      <c r="Q143" s="382"/>
      <c r="R143" s="382"/>
      <c r="S143" s="382"/>
      <c r="T143" s="382">
        <f>SUM(K143:P143)</f>
        <v>0</v>
      </c>
      <c r="U143" s="382">
        <f>U144+U150+U161</f>
        <v>0</v>
      </c>
      <c r="V143" s="382">
        <f>V144+V150+V161</f>
        <v>0</v>
      </c>
      <c r="W143" s="382">
        <f>W144+W150+W161</f>
        <v>0</v>
      </c>
      <c r="X143" s="382">
        <f>X144+X150+X161</f>
        <v>0</v>
      </c>
      <c r="Y143" s="382">
        <f>SUM(U143:X143)</f>
        <v>0</v>
      </c>
      <c r="Z143" s="382">
        <f t="shared" si="18"/>
        <v>0</v>
      </c>
      <c r="AA143" s="382">
        <f>AA144+AA150+AA161</f>
        <v>0</v>
      </c>
      <c r="AB143" s="382">
        <f>AB144+AB150+AB161</f>
        <v>0</v>
      </c>
      <c r="AC143" s="382">
        <f>AC144+AC150+AC161</f>
        <v>0</v>
      </c>
      <c r="AD143" s="382">
        <f>AD144+AD150+AD161</f>
        <v>0</v>
      </c>
      <c r="AE143" s="382">
        <f>SUM(AA143:AD143)</f>
        <v>0</v>
      </c>
      <c r="AF143" s="382">
        <f t="shared" si="26"/>
        <v>0</v>
      </c>
      <c r="AG143" s="382">
        <f>AG144+AG150+AG161</f>
        <v>0</v>
      </c>
      <c r="AH143" s="382">
        <f>AH144+AH150+AH161</f>
        <v>0</v>
      </c>
      <c r="AI143" s="382">
        <f>AI144+AI150+AI161</f>
        <v>0</v>
      </c>
    </row>
    <row r="144" spans="2:35" ht="15" customHeight="1" hidden="1">
      <c r="B144" s="383"/>
      <c r="C144" s="383">
        <f>'[1]GASTOS MATRIZ'!B138</f>
        <v>810</v>
      </c>
      <c r="D144" s="381"/>
      <c r="E144" s="390"/>
      <c r="F144" s="390"/>
      <c r="G144" s="383" t="str">
        <f>'[1]GASTOS MATRIZ'!F138</f>
        <v>Transferencias Corrientes al Sector Público</v>
      </c>
      <c r="H144" s="382">
        <f aca="true" t="shared" si="37" ref="H144:M144">H145</f>
        <v>0</v>
      </c>
      <c r="I144" s="382">
        <f t="shared" si="37"/>
        <v>0</v>
      </c>
      <c r="J144" s="382">
        <f t="shared" si="37"/>
        <v>0</v>
      </c>
      <c r="K144" s="382">
        <f t="shared" si="37"/>
        <v>0</v>
      </c>
      <c r="L144" s="382">
        <f t="shared" si="37"/>
        <v>0</v>
      </c>
      <c r="M144" s="382">
        <f t="shared" si="37"/>
        <v>0</v>
      </c>
      <c r="N144" s="382"/>
      <c r="O144" s="382">
        <f>SUM(E144:J144)</f>
        <v>0</v>
      </c>
      <c r="P144" s="382"/>
      <c r="Q144" s="382"/>
      <c r="R144" s="382"/>
      <c r="S144" s="382"/>
      <c r="T144" s="382">
        <f>SUM(K144:P144)</f>
        <v>0</v>
      </c>
      <c r="U144" s="382">
        <f>U145</f>
        <v>0</v>
      </c>
      <c r="V144" s="382">
        <f>V145</f>
        <v>0</v>
      </c>
      <c r="W144" s="382">
        <f>W145</f>
        <v>0</v>
      </c>
      <c r="X144" s="382">
        <f>X145</f>
        <v>0</v>
      </c>
      <c r="Y144" s="382">
        <f>SUM(U144:X144)</f>
        <v>0</v>
      </c>
      <c r="Z144" s="382">
        <f t="shared" si="18"/>
        <v>0</v>
      </c>
      <c r="AA144" s="382">
        <f>AA145</f>
        <v>0</v>
      </c>
      <c r="AB144" s="382">
        <f>AB145</f>
        <v>0</v>
      </c>
      <c r="AC144" s="382">
        <f>AC145</f>
        <v>0</v>
      </c>
      <c r="AD144" s="382">
        <f>AD145</f>
        <v>0</v>
      </c>
      <c r="AE144" s="382">
        <f>SUM(AA144:AD144)</f>
        <v>0</v>
      </c>
      <c r="AF144" s="382">
        <f t="shared" si="26"/>
        <v>0</v>
      </c>
      <c r="AG144" s="382">
        <f>AG145</f>
        <v>0</v>
      </c>
      <c r="AH144" s="382">
        <f>AH145</f>
        <v>0</v>
      </c>
      <c r="AI144" s="382">
        <f>AI145</f>
        <v>0</v>
      </c>
    </row>
    <row r="145" spans="2:35" ht="30" customHeight="1" hidden="1">
      <c r="B145" s="383"/>
      <c r="C145" s="383"/>
      <c r="D145" s="381">
        <f>'[1]GASTOS MATRIZ'!C139</f>
        <v>814</v>
      </c>
      <c r="E145" s="390"/>
      <c r="F145" s="390"/>
      <c r="G145" s="394" t="str">
        <f>'[1]GASTOS MATRIZ'!F139</f>
        <v>Transf. Consolidables por Coparticipación Juegos de Azar</v>
      </c>
      <c r="H145" s="395">
        <f aca="true" t="shared" si="38" ref="H145:M145">SUM(H146:H149)</f>
        <v>0</v>
      </c>
      <c r="I145" s="395">
        <f t="shared" si="38"/>
        <v>0</v>
      </c>
      <c r="J145" s="395">
        <f t="shared" si="38"/>
        <v>0</v>
      </c>
      <c r="K145" s="395">
        <f t="shared" si="38"/>
        <v>0</v>
      </c>
      <c r="L145" s="395">
        <f t="shared" si="38"/>
        <v>0</v>
      </c>
      <c r="M145" s="395">
        <f t="shared" si="38"/>
        <v>0</v>
      </c>
      <c r="N145" s="395"/>
      <c r="O145" s="395">
        <f>SUM(E145:J145)</f>
        <v>0</v>
      </c>
      <c r="P145" s="395"/>
      <c r="Q145" s="395"/>
      <c r="R145" s="395"/>
      <c r="S145" s="395"/>
      <c r="T145" s="395">
        <f>SUM(K145:P145)</f>
        <v>0</v>
      </c>
      <c r="U145" s="395">
        <f>SUM(U146:U149)</f>
        <v>0</v>
      </c>
      <c r="V145" s="395">
        <f>SUM(V146:V149)</f>
        <v>0</v>
      </c>
      <c r="W145" s="395">
        <f>SUM(W146:W149)</f>
        <v>0</v>
      </c>
      <c r="X145" s="395">
        <f>SUM(X146:X149)</f>
        <v>0</v>
      </c>
      <c r="Y145" s="395">
        <f>SUM(U145:X145)</f>
        <v>0</v>
      </c>
      <c r="Z145" s="395">
        <f t="shared" si="18"/>
        <v>0</v>
      </c>
      <c r="AA145" s="395">
        <f>SUM(AA146:AA149)</f>
        <v>0</v>
      </c>
      <c r="AB145" s="395">
        <f>SUM(AB146:AB149)</f>
        <v>0</v>
      </c>
      <c r="AC145" s="395">
        <f>SUM(AC146:AC149)</f>
        <v>0</v>
      </c>
      <c r="AD145" s="395">
        <f>SUM(AD146:AD149)</f>
        <v>0</v>
      </c>
      <c r="AE145" s="395">
        <f>SUM(AA145:AD145)</f>
        <v>0</v>
      </c>
      <c r="AF145" s="395">
        <f t="shared" si="26"/>
        <v>0</v>
      </c>
      <c r="AG145" s="395">
        <f>SUM(AG146:AG149)</f>
        <v>0</v>
      </c>
      <c r="AH145" s="395">
        <f>SUM(AH146:AH149)</f>
        <v>0</v>
      </c>
      <c r="AI145" s="395">
        <f>SUM(AI146:AI149)</f>
        <v>0</v>
      </c>
    </row>
    <row r="146" spans="2:35" ht="15" customHeight="1" hidden="1">
      <c r="B146" s="396"/>
      <c r="C146" s="396"/>
      <c r="D146" s="397"/>
      <c r="E146" s="398"/>
      <c r="F146" s="398"/>
      <c r="G146" s="399"/>
      <c r="H146" s="400"/>
      <c r="I146" s="400"/>
      <c r="J146" s="400"/>
      <c r="K146" s="389"/>
      <c r="L146" s="389"/>
      <c r="M146" s="389"/>
      <c r="N146" s="389"/>
      <c r="O146" s="389"/>
      <c r="P146" s="389"/>
      <c r="Q146" s="389"/>
      <c r="R146" s="389"/>
      <c r="S146" s="389"/>
      <c r="T146" s="389"/>
      <c r="U146" s="389"/>
      <c r="V146" s="389"/>
      <c r="W146" s="389"/>
      <c r="X146" s="389"/>
      <c r="Y146" s="389"/>
      <c r="Z146" s="389">
        <f t="shared" si="18"/>
        <v>0</v>
      </c>
      <c r="AA146" s="389"/>
      <c r="AB146" s="389"/>
      <c r="AC146" s="389"/>
      <c r="AD146" s="389"/>
      <c r="AE146" s="389"/>
      <c r="AF146" s="389">
        <f t="shared" si="26"/>
        <v>0</v>
      </c>
      <c r="AG146" s="389"/>
      <c r="AH146" s="389"/>
      <c r="AI146" s="389"/>
    </row>
    <row r="147" spans="2:35" ht="15" customHeight="1" hidden="1">
      <c r="B147" s="391"/>
      <c r="C147" s="391"/>
      <c r="D147" s="386"/>
      <c r="E147" s="387"/>
      <c r="F147" s="387"/>
      <c r="G147" s="401"/>
      <c r="H147" s="389"/>
      <c r="I147" s="389"/>
      <c r="J147" s="389"/>
      <c r="K147" s="389"/>
      <c r="L147" s="389"/>
      <c r="M147" s="389"/>
      <c r="N147" s="389"/>
      <c r="O147" s="389"/>
      <c r="P147" s="389"/>
      <c r="Q147" s="389"/>
      <c r="R147" s="389"/>
      <c r="S147" s="389"/>
      <c r="T147" s="389"/>
      <c r="U147" s="389"/>
      <c r="V147" s="389"/>
      <c r="W147" s="389"/>
      <c r="X147" s="389"/>
      <c r="Y147" s="389"/>
      <c r="Z147" s="389">
        <f t="shared" si="18"/>
        <v>0</v>
      </c>
      <c r="AA147" s="389"/>
      <c r="AB147" s="389"/>
      <c r="AC147" s="389"/>
      <c r="AD147" s="389"/>
      <c r="AE147" s="389"/>
      <c r="AF147" s="389">
        <f t="shared" si="26"/>
        <v>0</v>
      </c>
      <c r="AG147" s="389"/>
      <c r="AH147" s="389"/>
      <c r="AI147" s="389"/>
    </row>
    <row r="148" spans="2:35" ht="15" customHeight="1" hidden="1">
      <c r="B148" s="391"/>
      <c r="C148" s="391"/>
      <c r="D148" s="386"/>
      <c r="E148" s="387"/>
      <c r="F148" s="387"/>
      <c r="G148" s="401"/>
      <c r="H148" s="389"/>
      <c r="I148" s="389"/>
      <c r="J148" s="389"/>
      <c r="K148" s="389"/>
      <c r="L148" s="389"/>
      <c r="M148" s="389"/>
      <c r="N148" s="389"/>
      <c r="O148" s="389"/>
      <c r="P148" s="389"/>
      <c r="Q148" s="389"/>
      <c r="R148" s="389"/>
      <c r="S148" s="389"/>
      <c r="T148" s="389"/>
      <c r="U148" s="389"/>
      <c r="V148" s="389"/>
      <c r="W148" s="389"/>
      <c r="X148" s="389"/>
      <c r="Y148" s="389"/>
      <c r="Z148" s="389">
        <f t="shared" si="18"/>
        <v>0</v>
      </c>
      <c r="AA148" s="389"/>
      <c r="AB148" s="389"/>
      <c r="AC148" s="389"/>
      <c r="AD148" s="389"/>
      <c r="AE148" s="389"/>
      <c r="AF148" s="389">
        <f t="shared" si="26"/>
        <v>0</v>
      </c>
      <c r="AG148" s="389"/>
      <c r="AH148" s="389"/>
      <c r="AI148" s="389"/>
    </row>
    <row r="149" spans="2:35" ht="15" customHeight="1" hidden="1">
      <c r="B149" s="391"/>
      <c r="C149" s="391"/>
      <c r="D149" s="386"/>
      <c r="E149" s="387"/>
      <c r="F149" s="387"/>
      <c r="G149" s="391"/>
      <c r="H149" s="389"/>
      <c r="I149" s="389"/>
      <c r="J149" s="389"/>
      <c r="K149" s="389"/>
      <c r="L149" s="389"/>
      <c r="M149" s="389"/>
      <c r="N149" s="389"/>
      <c r="O149" s="389"/>
      <c r="P149" s="389"/>
      <c r="Q149" s="389"/>
      <c r="R149" s="389"/>
      <c r="S149" s="389"/>
      <c r="T149" s="389"/>
      <c r="U149" s="389"/>
      <c r="V149" s="389"/>
      <c r="W149" s="389"/>
      <c r="X149" s="389"/>
      <c r="Y149" s="389"/>
      <c r="Z149" s="389">
        <f t="shared" si="18"/>
        <v>0</v>
      </c>
      <c r="AA149" s="389"/>
      <c r="AB149" s="389"/>
      <c r="AC149" s="389"/>
      <c r="AD149" s="389"/>
      <c r="AE149" s="389"/>
      <c r="AF149" s="389">
        <f t="shared" si="26"/>
        <v>0</v>
      </c>
      <c r="AG149" s="389"/>
      <c r="AH149" s="389"/>
      <c r="AI149" s="389"/>
    </row>
    <row r="150" spans="2:35" ht="30" customHeight="1" hidden="1">
      <c r="B150" s="381"/>
      <c r="C150" s="381">
        <f>'[1]GASTOS MATRIZ'!B144</f>
        <v>830</v>
      </c>
      <c r="D150" s="381"/>
      <c r="E150" s="390"/>
      <c r="F150" s="390"/>
      <c r="G150" s="402" t="str">
        <f>'[1]GASTOS MATRIZ'!F144</f>
        <v>Otras transferencias Corrientes al sector público o privado</v>
      </c>
      <c r="H150" s="382">
        <f aca="true" t="shared" si="39" ref="H150:M150">H151+H154+H157</f>
        <v>0</v>
      </c>
      <c r="I150" s="382">
        <f t="shared" si="39"/>
        <v>0</v>
      </c>
      <c r="J150" s="382">
        <f t="shared" si="39"/>
        <v>0</v>
      </c>
      <c r="K150" s="382">
        <f t="shared" si="39"/>
        <v>0</v>
      </c>
      <c r="L150" s="382">
        <f t="shared" si="39"/>
        <v>0</v>
      </c>
      <c r="M150" s="382">
        <f t="shared" si="39"/>
        <v>0</v>
      </c>
      <c r="N150" s="382"/>
      <c r="O150" s="382">
        <f>SUM(E150:J150)</f>
        <v>0</v>
      </c>
      <c r="P150" s="382"/>
      <c r="Q150" s="382"/>
      <c r="R150" s="382"/>
      <c r="S150" s="382"/>
      <c r="T150" s="382">
        <f>SUM(K150:P150)</f>
        <v>0</v>
      </c>
      <c r="U150" s="382">
        <f>U151+U154+U157</f>
        <v>0</v>
      </c>
      <c r="V150" s="382">
        <f>V151+V154+V157</f>
        <v>0</v>
      </c>
      <c r="W150" s="382">
        <f>W151+W154+W157</f>
        <v>0</v>
      </c>
      <c r="X150" s="382">
        <f>X151+X154+X157</f>
        <v>0</v>
      </c>
      <c r="Y150" s="382">
        <f>SUM(U150:X150)</f>
        <v>0</v>
      </c>
      <c r="Z150" s="382">
        <f t="shared" si="18"/>
        <v>0</v>
      </c>
      <c r="AA150" s="382">
        <f>AA151+AA154+AA157</f>
        <v>0</v>
      </c>
      <c r="AB150" s="382">
        <f>AB151+AB154+AB157</f>
        <v>0</v>
      </c>
      <c r="AC150" s="382">
        <f>AC151+AC154+AC157</f>
        <v>0</v>
      </c>
      <c r="AD150" s="382">
        <f>AD151+AD154+AD157</f>
        <v>0</v>
      </c>
      <c r="AE150" s="382">
        <f>SUM(AA150:AD150)</f>
        <v>0</v>
      </c>
      <c r="AF150" s="382">
        <f t="shared" si="26"/>
        <v>0</v>
      </c>
      <c r="AG150" s="382">
        <f>AG151+AG154+AG157</f>
        <v>0</v>
      </c>
      <c r="AH150" s="382">
        <f>AH151+AH154+AH157</f>
        <v>0</v>
      </c>
      <c r="AI150" s="382">
        <f>AI151+AI154+AI157</f>
        <v>0</v>
      </c>
    </row>
    <row r="151" spans="2:35" ht="30" customHeight="1" hidden="1">
      <c r="B151" s="391"/>
      <c r="C151" s="391"/>
      <c r="D151" s="381">
        <f>'[1]GASTOS MATRIZ'!C145</f>
        <v>831</v>
      </c>
      <c r="E151" s="387"/>
      <c r="F151" s="387"/>
      <c r="G151" s="403" t="str">
        <f>'[1]GASTOS MATRIZ'!F145</f>
        <v>Otras Transf. a Ent. con fines Soc. o de Emergencia Nacional</v>
      </c>
      <c r="H151" s="395">
        <f aca="true" t="shared" si="40" ref="H151:M151">SUM(H152:H153)</f>
        <v>0</v>
      </c>
      <c r="I151" s="395">
        <f t="shared" si="40"/>
        <v>0</v>
      </c>
      <c r="J151" s="395">
        <f t="shared" si="40"/>
        <v>0</v>
      </c>
      <c r="K151" s="395">
        <f t="shared" si="40"/>
        <v>0</v>
      </c>
      <c r="L151" s="395">
        <f t="shared" si="40"/>
        <v>0</v>
      </c>
      <c r="M151" s="395">
        <f t="shared" si="40"/>
        <v>0</v>
      </c>
      <c r="N151" s="395"/>
      <c r="O151" s="395">
        <f>SUM(E151:J151)</f>
        <v>0</v>
      </c>
      <c r="P151" s="395"/>
      <c r="Q151" s="395"/>
      <c r="R151" s="395"/>
      <c r="S151" s="395"/>
      <c r="T151" s="395">
        <f>SUM(K151:P151)</f>
        <v>0</v>
      </c>
      <c r="U151" s="395">
        <f>SUM(U152:U153)</f>
        <v>0</v>
      </c>
      <c r="V151" s="395">
        <f>SUM(V152:V153)</f>
        <v>0</v>
      </c>
      <c r="W151" s="395">
        <f>SUM(W152:W153)</f>
        <v>0</v>
      </c>
      <c r="X151" s="395">
        <f>SUM(X152:X153)</f>
        <v>0</v>
      </c>
      <c r="Y151" s="395">
        <f>SUM(U151:X151)</f>
        <v>0</v>
      </c>
      <c r="Z151" s="395">
        <f t="shared" si="18"/>
        <v>0</v>
      </c>
      <c r="AA151" s="395">
        <f>SUM(AA152:AA153)</f>
        <v>0</v>
      </c>
      <c r="AB151" s="395">
        <f>SUM(AB152:AB153)</f>
        <v>0</v>
      </c>
      <c r="AC151" s="395">
        <f>SUM(AC152:AC153)</f>
        <v>0</v>
      </c>
      <c r="AD151" s="395">
        <f>SUM(AD152:AD153)</f>
        <v>0</v>
      </c>
      <c r="AE151" s="395">
        <f>SUM(AA151:AD151)</f>
        <v>0</v>
      </c>
      <c r="AF151" s="395">
        <f t="shared" si="26"/>
        <v>0</v>
      </c>
      <c r="AG151" s="395">
        <f>SUM(AG152:AG153)</f>
        <v>0</v>
      </c>
      <c r="AH151" s="395">
        <f>SUM(AH152:AH153)</f>
        <v>0</v>
      </c>
      <c r="AI151" s="395">
        <f>SUM(AI152:AI153)</f>
        <v>0</v>
      </c>
    </row>
    <row r="152" spans="2:35" ht="15" customHeight="1" hidden="1">
      <c r="B152" s="391"/>
      <c r="C152" s="391"/>
      <c r="D152" s="386"/>
      <c r="E152" s="387"/>
      <c r="F152" s="387"/>
      <c r="G152" s="391"/>
      <c r="H152" s="389"/>
      <c r="I152" s="389"/>
      <c r="J152" s="389"/>
      <c r="K152" s="389"/>
      <c r="L152" s="389"/>
      <c r="M152" s="389"/>
      <c r="N152" s="389"/>
      <c r="O152" s="389"/>
      <c r="P152" s="389"/>
      <c r="Q152" s="389"/>
      <c r="R152" s="389"/>
      <c r="S152" s="389"/>
      <c r="T152" s="389"/>
      <c r="U152" s="389"/>
      <c r="V152" s="389"/>
      <c r="W152" s="389"/>
      <c r="X152" s="389"/>
      <c r="Y152" s="389"/>
      <c r="Z152" s="389">
        <f aca="true" t="shared" si="41" ref="Z152:Z215">T152+Y152</f>
        <v>0</v>
      </c>
      <c r="AA152" s="389"/>
      <c r="AB152" s="389"/>
      <c r="AC152" s="389"/>
      <c r="AD152" s="389"/>
      <c r="AE152" s="389"/>
      <c r="AF152" s="389">
        <f t="shared" si="26"/>
        <v>0</v>
      </c>
      <c r="AG152" s="389"/>
      <c r="AH152" s="389"/>
      <c r="AI152" s="389"/>
    </row>
    <row r="153" spans="2:35" ht="15" customHeight="1" hidden="1">
      <c r="B153" s="391"/>
      <c r="C153" s="391"/>
      <c r="D153" s="386"/>
      <c r="E153" s="387"/>
      <c r="F153" s="387"/>
      <c r="G153" s="391"/>
      <c r="H153" s="389"/>
      <c r="I153" s="389"/>
      <c r="J153" s="389"/>
      <c r="K153" s="389"/>
      <c r="L153" s="389"/>
      <c r="M153" s="389"/>
      <c r="N153" s="389"/>
      <c r="O153" s="389"/>
      <c r="P153" s="389"/>
      <c r="Q153" s="389"/>
      <c r="R153" s="389"/>
      <c r="S153" s="389"/>
      <c r="T153" s="389"/>
      <c r="U153" s="389"/>
      <c r="V153" s="389"/>
      <c r="W153" s="389"/>
      <c r="X153" s="389"/>
      <c r="Y153" s="389"/>
      <c r="Z153" s="389">
        <f t="shared" si="41"/>
        <v>0</v>
      </c>
      <c r="AA153" s="389"/>
      <c r="AB153" s="389"/>
      <c r="AC153" s="389"/>
      <c r="AD153" s="389"/>
      <c r="AE153" s="389"/>
      <c r="AF153" s="389">
        <f t="shared" si="26"/>
        <v>0</v>
      </c>
      <c r="AG153" s="389"/>
      <c r="AH153" s="389"/>
      <c r="AI153" s="389"/>
    </row>
    <row r="154" spans="2:35" ht="15" customHeight="1" hidden="1">
      <c r="B154" s="391"/>
      <c r="C154" s="391"/>
      <c r="D154" s="381">
        <f>'[1]GASTOS MATRIZ'!C148</f>
        <v>833</v>
      </c>
      <c r="E154" s="387"/>
      <c r="F154" s="387"/>
      <c r="G154" s="383" t="str">
        <f>'[1]GASTOS MATRIZ'!F148</f>
        <v>Transferencias a Municipalidades</v>
      </c>
      <c r="H154" s="382">
        <f aca="true" t="shared" si="42" ref="H154:M154">H155</f>
        <v>0</v>
      </c>
      <c r="I154" s="382">
        <f t="shared" si="42"/>
        <v>0</v>
      </c>
      <c r="J154" s="382">
        <f t="shared" si="42"/>
        <v>0</v>
      </c>
      <c r="K154" s="382">
        <f t="shared" si="42"/>
        <v>0</v>
      </c>
      <c r="L154" s="382">
        <f t="shared" si="42"/>
        <v>0</v>
      </c>
      <c r="M154" s="382">
        <f t="shared" si="42"/>
        <v>0</v>
      </c>
      <c r="N154" s="382"/>
      <c r="O154" s="382">
        <f>SUM(E154:J154)</f>
        <v>0</v>
      </c>
      <c r="P154" s="382"/>
      <c r="Q154" s="382"/>
      <c r="R154" s="382"/>
      <c r="S154" s="382"/>
      <c r="T154" s="382">
        <f>SUM(K154:P154)</f>
        <v>0</v>
      </c>
      <c r="U154" s="382">
        <f>U155</f>
        <v>0</v>
      </c>
      <c r="V154" s="382">
        <f>V155</f>
        <v>0</v>
      </c>
      <c r="W154" s="382">
        <f>W155</f>
        <v>0</v>
      </c>
      <c r="X154" s="382">
        <f>X155</f>
        <v>0</v>
      </c>
      <c r="Y154" s="382">
        <f>SUM(U154:X154)</f>
        <v>0</v>
      </c>
      <c r="Z154" s="382">
        <f t="shared" si="41"/>
        <v>0</v>
      </c>
      <c r="AA154" s="382">
        <f>AA155</f>
        <v>0</v>
      </c>
      <c r="AB154" s="382">
        <f>AB155</f>
        <v>0</v>
      </c>
      <c r="AC154" s="382">
        <f>AC155</f>
        <v>0</v>
      </c>
      <c r="AD154" s="382">
        <f>AD155</f>
        <v>0</v>
      </c>
      <c r="AE154" s="382">
        <f>SUM(AA154:AD154)</f>
        <v>0</v>
      </c>
      <c r="AF154" s="382">
        <f t="shared" si="26"/>
        <v>0</v>
      </c>
      <c r="AG154" s="382">
        <f>AG155</f>
        <v>0</v>
      </c>
      <c r="AH154" s="382">
        <f>AH155</f>
        <v>0</v>
      </c>
      <c r="AI154" s="382">
        <f>AI155</f>
        <v>0</v>
      </c>
    </row>
    <row r="155" spans="2:35" ht="15" customHeight="1" hidden="1">
      <c r="B155" s="391"/>
      <c r="C155" s="391"/>
      <c r="D155" s="386"/>
      <c r="E155" s="387"/>
      <c r="F155" s="387"/>
      <c r="G155" s="391"/>
      <c r="H155" s="389"/>
      <c r="I155" s="389"/>
      <c r="J155" s="389"/>
      <c r="K155" s="389"/>
      <c r="L155" s="389"/>
      <c r="M155" s="389"/>
      <c r="N155" s="389"/>
      <c r="O155" s="389"/>
      <c r="P155" s="389"/>
      <c r="Q155" s="389"/>
      <c r="R155" s="389"/>
      <c r="S155" s="389"/>
      <c r="T155" s="389"/>
      <c r="U155" s="389"/>
      <c r="V155" s="389"/>
      <c r="W155" s="389"/>
      <c r="X155" s="389"/>
      <c r="Y155" s="389"/>
      <c r="Z155" s="389">
        <f t="shared" si="41"/>
        <v>0</v>
      </c>
      <c r="AA155" s="389"/>
      <c r="AB155" s="389"/>
      <c r="AC155" s="389"/>
      <c r="AD155" s="389"/>
      <c r="AE155" s="389"/>
      <c r="AF155" s="389">
        <f t="shared" si="26"/>
        <v>0</v>
      </c>
      <c r="AG155" s="389"/>
      <c r="AH155" s="389"/>
      <c r="AI155" s="389"/>
    </row>
    <row r="156" spans="2:35" ht="15" customHeight="1" hidden="1">
      <c r="B156" s="391"/>
      <c r="C156" s="391"/>
      <c r="D156" s="386"/>
      <c r="E156" s="387"/>
      <c r="F156" s="387"/>
      <c r="G156" s="391"/>
      <c r="H156" s="389"/>
      <c r="I156" s="389"/>
      <c r="J156" s="389"/>
      <c r="K156" s="389"/>
      <c r="L156" s="389"/>
      <c r="M156" s="389"/>
      <c r="N156" s="389"/>
      <c r="O156" s="389"/>
      <c r="P156" s="389"/>
      <c r="Q156" s="389"/>
      <c r="R156" s="389"/>
      <c r="S156" s="389"/>
      <c r="T156" s="389"/>
      <c r="U156" s="389"/>
      <c r="V156" s="389"/>
      <c r="W156" s="389"/>
      <c r="X156" s="389"/>
      <c r="Y156" s="389"/>
      <c r="Z156" s="389">
        <f t="shared" si="41"/>
        <v>0</v>
      </c>
      <c r="AA156" s="389"/>
      <c r="AB156" s="389"/>
      <c r="AC156" s="389"/>
      <c r="AD156" s="389"/>
      <c r="AE156" s="389"/>
      <c r="AF156" s="389">
        <f t="shared" si="26"/>
        <v>0</v>
      </c>
      <c r="AG156" s="389"/>
      <c r="AH156" s="389"/>
      <c r="AI156" s="389"/>
    </row>
    <row r="157" spans="2:35" ht="15" customHeight="1" hidden="1">
      <c r="B157" s="391"/>
      <c r="C157" s="391"/>
      <c r="D157" s="381">
        <f>'[1]GASTOS MATRIZ'!C151</f>
        <v>834</v>
      </c>
      <c r="E157" s="387"/>
      <c r="F157" s="387"/>
      <c r="G157" s="383" t="str">
        <f>'[1]GASTOS MATRIZ'!F151</f>
        <v>Otras Transf.al Sector Público</v>
      </c>
      <c r="H157" s="395">
        <f aca="true" t="shared" si="43" ref="H157:M157">SUM(H158:H159)</f>
        <v>0</v>
      </c>
      <c r="I157" s="395">
        <f t="shared" si="43"/>
        <v>0</v>
      </c>
      <c r="J157" s="395">
        <f t="shared" si="43"/>
        <v>0</v>
      </c>
      <c r="K157" s="395">
        <f t="shared" si="43"/>
        <v>0</v>
      </c>
      <c r="L157" s="395">
        <f t="shared" si="43"/>
        <v>0</v>
      </c>
      <c r="M157" s="395">
        <f t="shared" si="43"/>
        <v>0</v>
      </c>
      <c r="N157" s="395"/>
      <c r="O157" s="395">
        <f>SUM(E157:J157)</f>
        <v>0</v>
      </c>
      <c r="P157" s="395"/>
      <c r="Q157" s="395"/>
      <c r="R157" s="395"/>
      <c r="S157" s="395"/>
      <c r="T157" s="395">
        <f>SUM(K157:P157)</f>
        <v>0</v>
      </c>
      <c r="U157" s="395">
        <f>SUM(U158:U159)</f>
        <v>0</v>
      </c>
      <c r="V157" s="395">
        <f>SUM(V158:V159)</f>
        <v>0</v>
      </c>
      <c r="W157" s="395">
        <f>SUM(W158:W159)</f>
        <v>0</v>
      </c>
      <c r="X157" s="395">
        <f>SUM(X158:X159)</f>
        <v>0</v>
      </c>
      <c r="Y157" s="395">
        <f>SUM(U157:X157)</f>
        <v>0</v>
      </c>
      <c r="Z157" s="395">
        <f t="shared" si="41"/>
        <v>0</v>
      </c>
      <c r="AA157" s="395">
        <f>SUM(AA158:AA159)</f>
        <v>0</v>
      </c>
      <c r="AB157" s="395">
        <f>SUM(AB158:AB159)</f>
        <v>0</v>
      </c>
      <c r="AC157" s="395">
        <f>SUM(AC158:AC159)</f>
        <v>0</v>
      </c>
      <c r="AD157" s="395">
        <f>SUM(AD158:AD159)</f>
        <v>0</v>
      </c>
      <c r="AE157" s="395">
        <f>SUM(AA157:AD157)</f>
        <v>0</v>
      </c>
      <c r="AF157" s="395">
        <f t="shared" si="26"/>
        <v>0</v>
      </c>
      <c r="AG157" s="395">
        <f>SUM(AG158:AG159)</f>
        <v>0</v>
      </c>
      <c r="AH157" s="395">
        <f>SUM(AH158:AH159)</f>
        <v>0</v>
      </c>
      <c r="AI157" s="395">
        <f>SUM(AI158:AI159)</f>
        <v>0</v>
      </c>
    </row>
    <row r="158" spans="2:35" ht="15" customHeight="1" hidden="1">
      <c r="B158" s="391"/>
      <c r="C158" s="391"/>
      <c r="D158" s="386"/>
      <c r="E158" s="387"/>
      <c r="F158" s="387"/>
      <c r="G158" s="391"/>
      <c r="H158" s="389"/>
      <c r="I158" s="389"/>
      <c r="J158" s="389"/>
      <c r="K158" s="389"/>
      <c r="L158" s="389"/>
      <c r="M158" s="389"/>
      <c r="N158" s="389"/>
      <c r="O158" s="389"/>
      <c r="P158" s="389"/>
      <c r="Q158" s="389"/>
      <c r="R158" s="389"/>
      <c r="S158" s="389"/>
      <c r="T158" s="389"/>
      <c r="U158" s="389"/>
      <c r="V158" s="389"/>
      <c r="W158" s="389"/>
      <c r="X158" s="389"/>
      <c r="Y158" s="389"/>
      <c r="Z158" s="389">
        <f t="shared" si="41"/>
        <v>0</v>
      </c>
      <c r="AA158" s="389"/>
      <c r="AB158" s="389"/>
      <c r="AC158" s="389"/>
      <c r="AD158" s="389"/>
      <c r="AE158" s="389"/>
      <c r="AF158" s="389">
        <f t="shared" si="26"/>
        <v>0</v>
      </c>
      <c r="AG158" s="389"/>
      <c r="AH158" s="389"/>
      <c r="AI158" s="389"/>
    </row>
    <row r="159" spans="2:35" ht="15" customHeight="1" hidden="1">
      <c r="B159" s="391"/>
      <c r="C159" s="391"/>
      <c r="D159" s="386"/>
      <c r="E159" s="387"/>
      <c r="F159" s="387"/>
      <c r="G159" s="391"/>
      <c r="H159" s="389"/>
      <c r="I159" s="389"/>
      <c r="J159" s="389"/>
      <c r="K159" s="389"/>
      <c r="L159" s="389"/>
      <c r="M159" s="389"/>
      <c r="N159" s="389"/>
      <c r="O159" s="389"/>
      <c r="P159" s="389"/>
      <c r="Q159" s="389"/>
      <c r="R159" s="389"/>
      <c r="S159" s="389"/>
      <c r="T159" s="389"/>
      <c r="U159" s="389"/>
      <c r="V159" s="389"/>
      <c r="W159" s="389"/>
      <c r="X159" s="389"/>
      <c r="Y159" s="389"/>
      <c r="Z159" s="389">
        <f t="shared" si="41"/>
        <v>0</v>
      </c>
      <c r="AA159" s="389"/>
      <c r="AB159" s="389"/>
      <c r="AC159" s="389"/>
      <c r="AD159" s="389"/>
      <c r="AE159" s="389"/>
      <c r="AF159" s="389">
        <f t="shared" si="26"/>
        <v>0</v>
      </c>
      <c r="AG159" s="389"/>
      <c r="AH159" s="389"/>
      <c r="AI159" s="389"/>
    </row>
    <row r="160" spans="2:35" ht="15" customHeight="1" hidden="1">
      <c r="B160" s="391"/>
      <c r="C160" s="391"/>
      <c r="D160" s="386"/>
      <c r="E160" s="387"/>
      <c r="F160" s="387"/>
      <c r="G160" s="391"/>
      <c r="H160" s="389"/>
      <c r="I160" s="389"/>
      <c r="J160" s="389"/>
      <c r="K160" s="389"/>
      <c r="L160" s="389"/>
      <c r="M160" s="389"/>
      <c r="N160" s="389"/>
      <c r="O160" s="389"/>
      <c r="P160" s="389"/>
      <c r="Q160" s="389"/>
      <c r="R160" s="389"/>
      <c r="S160" s="389"/>
      <c r="T160" s="389"/>
      <c r="U160" s="389"/>
      <c r="V160" s="389"/>
      <c r="W160" s="389"/>
      <c r="X160" s="389"/>
      <c r="Y160" s="389"/>
      <c r="Z160" s="389">
        <f t="shared" si="41"/>
        <v>0</v>
      </c>
      <c r="AA160" s="389"/>
      <c r="AB160" s="389"/>
      <c r="AC160" s="389"/>
      <c r="AD160" s="389"/>
      <c r="AE160" s="389"/>
      <c r="AF160" s="389">
        <f t="shared" si="26"/>
        <v>0</v>
      </c>
      <c r="AG160" s="389"/>
      <c r="AH160" s="389"/>
      <c r="AI160" s="389"/>
    </row>
    <row r="161" spans="2:35" ht="30" customHeight="1" hidden="1">
      <c r="B161" s="383"/>
      <c r="C161" s="383">
        <f>'[1]GASTOS MATRIZ'!B156</f>
        <v>840</v>
      </c>
      <c r="D161" s="381"/>
      <c r="E161" s="390"/>
      <c r="F161" s="390"/>
      <c r="G161" s="402" t="str">
        <f>'[1]GASTOS MATRIZ'!F156</f>
        <v>Transferencias Corrientes  al  sector Privado, Varias</v>
      </c>
      <c r="H161" s="395">
        <f aca="true" t="shared" si="44" ref="H161:M161">H162+H166+H181+H186</f>
        <v>0</v>
      </c>
      <c r="I161" s="395">
        <f t="shared" si="44"/>
        <v>0</v>
      </c>
      <c r="J161" s="395">
        <f t="shared" si="44"/>
        <v>0</v>
      </c>
      <c r="K161" s="395">
        <f t="shared" si="44"/>
        <v>0</v>
      </c>
      <c r="L161" s="395">
        <f t="shared" si="44"/>
        <v>0</v>
      </c>
      <c r="M161" s="395">
        <f t="shared" si="44"/>
        <v>0</v>
      </c>
      <c r="N161" s="395"/>
      <c r="O161" s="395">
        <f>SUM(E161:J161)</f>
        <v>0</v>
      </c>
      <c r="P161" s="395"/>
      <c r="Q161" s="395"/>
      <c r="R161" s="395"/>
      <c r="S161" s="395"/>
      <c r="T161" s="395">
        <f>SUM(K161:P161)</f>
        <v>0</v>
      </c>
      <c r="U161" s="395">
        <f>U162+U166+U181+U186</f>
        <v>0</v>
      </c>
      <c r="V161" s="395">
        <f>V162+V166+V181+V186</f>
        <v>0</v>
      </c>
      <c r="W161" s="395">
        <f>W162+W166+W181+W186</f>
        <v>0</v>
      </c>
      <c r="X161" s="395">
        <f>X162+X166+X181+X186</f>
        <v>0</v>
      </c>
      <c r="Y161" s="395">
        <f>SUM(U161:X161)</f>
        <v>0</v>
      </c>
      <c r="Z161" s="395">
        <f t="shared" si="41"/>
        <v>0</v>
      </c>
      <c r="AA161" s="395">
        <f>AA162+AA166+AA181+AA186</f>
        <v>0</v>
      </c>
      <c r="AB161" s="395">
        <f>AB162+AB166+AB181+AB186</f>
        <v>0</v>
      </c>
      <c r="AC161" s="395">
        <f>AC162+AC166+AC181+AC186</f>
        <v>0</v>
      </c>
      <c r="AD161" s="395">
        <f>AD162+AD166+AD181+AD186</f>
        <v>0</v>
      </c>
      <c r="AE161" s="395">
        <f>SUM(AA161:AD161)</f>
        <v>0</v>
      </c>
      <c r="AF161" s="395">
        <f t="shared" si="26"/>
        <v>0</v>
      </c>
      <c r="AG161" s="395">
        <f>AG162+AG166+AG181+AG186</f>
        <v>0</v>
      </c>
      <c r="AH161" s="395">
        <f>AH162+AH166+AH181+AH186</f>
        <v>0</v>
      </c>
      <c r="AI161" s="395">
        <f>AI162+AI166+AI181+AI186</f>
        <v>0</v>
      </c>
    </row>
    <row r="162" spans="2:35" ht="15" customHeight="1" hidden="1">
      <c r="B162" s="381"/>
      <c r="C162" s="381"/>
      <c r="D162" s="381">
        <f>'[1]GASTOS MATRIZ'!C157</f>
        <v>841</v>
      </c>
      <c r="E162" s="390"/>
      <c r="F162" s="390"/>
      <c r="G162" s="403" t="str">
        <f>'[1]GASTOS MATRIZ'!F157</f>
        <v>Becas</v>
      </c>
      <c r="H162" s="395">
        <f aca="true" t="shared" si="45" ref="H162:M162">SUM(H163:H164)</f>
        <v>0</v>
      </c>
      <c r="I162" s="395">
        <f t="shared" si="45"/>
        <v>0</v>
      </c>
      <c r="J162" s="395">
        <f t="shared" si="45"/>
        <v>0</v>
      </c>
      <c r="K162" s="395">
        <f t="shared" si="45"/>
        <v>0</v>
      </c>
      <c r="L162" s="395">
        <f t="shared" si="45"/>
        <v>0</v>
      </c>
      <c r="M162" s="395">
        <f t="shared" si="45"/>
        <v>0</v>
      </c>
      <c r="N162" s="395"/>
      <c r="O162" s="395">
        <f>SUM(E162:J162)</f>
        <v>0</v>
      </c>
      <c r="P162" s="395"/>
      <c r="Q162" s="395"/>
      <c r="R162" s="395"/>
      <c r="S162" s="395"/>
      <c r="T162" s="395">
        <f>SUM(K162:P162)</f>
        <v>0</v>
      </c>
      <c r="U162" s="395">
        <f>SUM(U163:U164)</f>
        <v>0</v>
      </c>
      <c r="V162" s="395">
        <f>SUM(V163:V164)</f>
        <v>0</v>
      </c>
      <c r="W162" s="395">
        <f>SUM(W163:W164)</f>
        <v>0</v>
      </c>
      <c r="X162" s="395">
        <f>SUM(X163:X164)</f>
        <v>0</v>
      </c>
      <c r="Y162" s="395">
        <f>SUM(U162:X162)</f>
        <v>0</v>
      </c>
      <c r="Z162" s="395">
        <f t="shared" si="41"/>
        <v>0</v>
      </c>
      <c r="AA162" s="395">
        <f>SUM(AA163:AA164)</f>
        <v>0</v>
      </c>
      <c r="AB162" s="395">
        <f>SUM(AB163:AB164)</f>
        <v>0</v>
      </c>
      <c r="AC162" s="395">
        <f>SUM(AC163:AC164)</f>
        <v>0</v>
      </c>
      <c r="AD162" s="395">
        <f>SUM(AD163:AD164)</f>
        <v>0</v>
      </c>
      <c r="AE162" s="395">
        <f>SUM(AA162:AD162)</f>
        <v>0</v>
      </c>
      <c r="AF162" s="395">
        <f t="shared" si="26"/>
        <v>0</v>
      </c>
      <c r="AG162" s="395">
        <f>SUM(AG163:AG164)</f>
        <v>0</v>
      </c>
      <c r="AH162" s="395">
        <f>SUM(AH163:AH164)</f>
        <v>0</v>
      </c>
      <c r="AI162" s="395">
        <f>SUM(AI163:AI164)</f>
        <v>0</v>
      </c>
    </row>
    <row r="163" spans="2:35" ht="15" customHeight="1" hidden="1">
      <c r="B163" s="391"/>
      <c r="C163" s="391"/>
      <c r="D163" s="386"/>
      <c r="E163" s="387"/>
      <c r="F163" s="387"/>
      <c r="G163" s="391"/>
      <c r="H163" s="389"/>
      <c r="I163" s="389"/>
      <c r="J163" s="389"/>
      <c r="K163" s="389"/>
      <c r="L163" s="389"/>
      <c r="M163" s="389"/>
      <c r="N163" s="389"/>
      <c r="O163" s="389"/>
      <c r="P163" s="389"/>
      <c r="Q163" s="389"/>
      <c r="R163" s="389"/>
      <c r="S163" s="389"/>
      <c r="T163" s="389"/>
      <c r="U163" s="389"/>
      <c r="V163" s="389"/>
      <c r="W163" s="389"/>
      <c r="X163" s="389"/>
      <c r="Y163" s="389"/>
      <c r="Z163" s="389">
        <f t="shared" si="41"/>
        <v>0</v>
      </c>
      <c r="AA163" s="389"/>
      <c r="AB163" s="389"/>
      <c r="AC163" s="389"/>
      <c r="AD163" s="389"/>
      <c r="AE163" s="389"/>
      <c r="AF163" s="389">
        <f t="shared" si="26"/>
        <v>0</v>
      </c>
      <c r="AG163" s="389"/>
      <c r="AH163" s="389"/>
      <c r="AI163" s="389"/>
    </row>
    <row r="164" spans="2:35" ht="15" customHeight="1" hidden="1">
      <c r="B164" s="391"/>
      <c r="C164" s="391"/>
      <c r="D164" s="386"/>
      <c r="E164" s="387"/>
      <c r="F164" s="387"/>
      <c r="G164" s="391"/>
      <c r="H164" s="389"/>
      <c r="I164" s="389"/>
      <c r="J164" s="389"/>
      <c r="K164" s="389"/>
      <c r="L164" s="389"/>
      <c r="M164" s="389"/>
      <c r="N164" s="389"/>
      <c r="O164" s="389"/>
      <c r="P164" s="389"/>
      <c r="Q164" s="389"/>
      <c r="R164" s="389"/>
      <c r="S164" s="389"/>
      <c r="T164" s="389"/>
      <c r="U164" s="389"/>
      <c r="V164" s="389"/>
      <c r="W164" s="389"/>
      <c r="X164" s="389"/>
      <c r="Y164" s="389"/>
      <c r="Z164" s="389">
        <f t="shared" si="41"/>
        <v>0</v>
      </c>
      <c r="AA164" s="389"/>
      <c r="AB164" s="389"/>
      <c r="AC164" s="389"/>
      <c r="AD164" s="389"/>
      <c r="AE164" s="389"/>
      <c r="AF164" s="389">
        <f t="shared" si="26"/>
        <v>0</v>
      </c>
      <c r="AG164" s="389"/>
      <c r="AH164" s="389"/>
      <c r="AI164" s="389"/>
    </row>
    <row r="165" spans="2:35" ht="15" customHeight="1" hidden="1">
      <c r="B165" s="391"/>
      <c r="C165" s="391"/>
      <c r="D165" s="386"/>
      <c r="E165" s="387"/>
      <c r="F165" s="387"/>
      <c r="G165" s="391"/>
      <c r="H165" s="389"/>
      <c r="I165" s="389"/>
      <c r="J165" s="389"/>
      <c r="K165" s="389"/>
      <c r="L165" s="389"/>
      <c r="M165" s="389"/>
      <c r="N165" s="389"/>
      <c r="O165" s="389"/>
      <c r="P165" s="389"/>
      <c r="Q165" s="389"/>
      <c r="R165" s="389"/>
      <c r="S165" s="389"/>
      <c r="T165" s="389"/>
      <c r="U165" s="389"/>
      <c r="V165" s="389"/>
      <c r="W165" s="389"/>
      <c r="X165" s="389"/>
      <c r="Y165" s="389"/>
      <c r="Z165" s="389">
        <f t="shared" si="41"/>
        <v>0</v>
      </c>
      <c r="AA165" s="389"/>
      <c r="AB165" s="389"/>
      <c r="AC165" s="389"/>
      <c r="AD165" s="389"/>
      <c r="AE165" s="389"/>
      <c r="AF165" s="389">
        <f t="shared" si="26"/>
        <v>0</v>
      </c>
      <c r="AG165" s="389"/>
      <c r="AH165" s="389"/>
      <c r="AI165" s="389"/>
    </row>
    <row r="166" spans="2:35" ht="30" customHeight="1" hidden="1">
      <c r="B166" s="381"/>
      <c r="C166" s="381"/>
      <c r="D166" s="381">
        <f>'[1]GASTOS MATRIZ'!C161</f>
        <v>842</v>
      </c>
      <c r="E166" s="390"/>
      <c r="F166" s="390"/>
      <c r="G166" s="403" t="str">
        <f>'[1]GASTOS MATRIZ'!F161</f>
        <v>Aportes a Entidades Educ. e Instituciones s/ fines de lucro</v>
      </c>
      <c r="H166" s="395">
        <f aca="true" t="shared" si="46" ref="H166:M166">SUM(H167:H179)</f>
        <v>0</v>
      </c>
      <c r="I166" s="395">
        <f t="shared" si="46"/>
        <v>0</v>
      </c>
      <c r="J166" s="395">
        <f t="shared" si="46"/>
        <v>0</v>
      </c>
      <c r="K166" s="395">
        <f t="shared" si="46"/>
        <v>0</v>
      </c>
      <c r="L166" s="395">
        <f t="shared" si="46"/>
        <v>0</v>
      </c>
      <c r="M166" s="395">
        <f t="shared" si="46"/>
        <v>0</v>
      </c>
      <c r="N166" s="395"/>
      <c r="O166" s="395">
        <f>SUM(E166:J166)</f>
        <v>0</v>
      </c>
      <c r="P166" s="395"/>
      <c r="Q166" s="395"/>
      <c r="R166" s="395"/>
      <c r="S166" s="395"/>
      <c r="T166" s="395">
        <f>SUM(K166:P166)</f>
        <v>0</v>
      </c>
      <c r="U166" s="395">
        <f>SUM(U167:U179)</f>
        <v>0</v>
      </c>
      <c r="V166" s="395">
        <f>SUM(V167:V179)</f>
        <v>0</v>
      </c>
      <c r="W166" s="395">
        <f>SUM(W167:W179)</f>
        <v>0</v>
      </c>
      <c r="X166" s="395">
        <f>SUM(X167:X179)</f>
        <v>0</v>
      </c>
      <c r="Y166" s="395">
        <f>SUM(U166:X166)</f>
        <v>0</v>
      </c>
      <c r="Z166" s="395">
        <f t="shared" si="41"/>
        <v>0</v>
      </c>
      <c r="AA166" s="395">
        <f>SUM(AA167:AA179)</f>
        <v>0</v>
      </c>
      <c r="AB166" s="395">
        <f>SUM(AB167:AB179)</f>
        <v>0</v>
      </c>
      <c r="AC166" s="395">
        <f>SUM(AC167:AC179)</f>
        <v>0</v>
      </c>
      <c r="AD166" s="395">
        <f>SUM(AD167:AD179)</f>
        <v>0</v>
      </c>
      <c r="AE166" s="395">
        <f>SUM(AA166:AD166)</f>
        <v>0</v>
      </c>
      <c r="AF166" s="395">
        <f t="shared" si="26"/>
        <v>0</v>
      </c>
      <c r="AG166" s="395">
        <f>SUM(AG167:AG179)</f>
        <v>0</v>
      </c>
      <c r="AH166" s="395">
        <f>SUM(AH167:AH179)</f>
        <v>0</v>
      </c>
      <c r="AI166" s="395">
        <f>SUM(AI167:AI179)</f>
        <v>0</v>
      </c>
    </row>
    <row r="167" spans="2:35" ht="15" customHeight="1" hidden="1">
      <c r="B167" s="391"/>
      <c r="C167" s="391"/>
      <c r="D167" s="386"/>
      <c r="E167" s="387"/>
      <c r="F167" s="387"/>
      <c r="G167" s="391"/>
      <c r="H167" s="389"/>
      <c r="I167" s="389"/>
      <c r="J167" s="389"/>
      <c r="K167" s="389"/>
      <c r="L167" s="389"/>
      <c r="M167" s="389"/>
      <c r="N167" s="389"/>
      <c r="O167" s="389"/>
      <c r="P167" s="389"/>
      <c r="Q167" s="389"/>
      <c r="R167" s="389"/>
      <c r="S167" s="389"/>
      <c r="T167" s="389"/>
      <c r="U167" s="389"/>
      <c r="V167" s="389"/>
      <c r="W167" s="389"/>
      <c r="X167" s="389"/>
      <c r="Y167" s="389"/>
      <c r="Z167" s="389">
        <f t="shared" si="41"/>
        <v>0</v>
      </c>
      <c r="AA167" s="389"/>
      <c r="AB167" s="389"/>
      <c r="AC167" s="389"/>
      <c r="AD167" s="389"/>
      <c r="AE167" s="389"/>
      <c r="AF167" s="389">
        <f t="shared" si="26"/>
        <v>0</v>
      </c>
      <c r="AG167" s="389"/>
      <c r="AH167" s="389"/>
      <c r="AI167" s="389"/>
    </row>
    <row r="168" spans="2:35" ht="15" customHeight="1" hidden="1">
      <c r="B168" s="391"/>
      <c r="C168" s="391"/>
      <c r="D168" s="386"/>
      <c r="E168" s="387"/>
      <c r="F168" s="387"/>
      <c r="G168" s="391"/>
      <c r="H168" s="389"/>
      <c r="I168" s="389"/>
      <c r="J168" s="389"/>
      <c r="K168" s="389"/>
      <c r="L168" s="389"/>
      <c r="M168" s="389"/>
      <c r="N168" s="389"/>
      <c r="O168" s="389"/>
      <c r="P168" s="389"/>
      <c r="Q168" s="389"/>
      <c r="R168" s="389"/>
      <c r="S168" s="389"/>
      <c r="T168" s="389"/>
      <c r="U168" s="389"/>
      <c r="V168" s="389"/>
      <c r="W168" s="389"/>
      <c r="X168" s="389"/>
      <c r="Y168" s="389"/>
      <c r="Z168" s="389">
        <f t="shared" si="41"/>
        <v>0</v>
      </c>
      <c r="AA168" s="389"/>
      <c r="AB168" s="389"/>
      <c r="AC168" s="389"/>
      <c r="AD168" s="389"/>
      <c r="AE168" s="389"/>
      <c r="AF168" s="389">
        <f t="shared" si="26"/>
        <v>0</v>
      </c>
      <c r="AG168" s="389"/>
      <c r="AH168" s="389"/>
      <c r="AI168" s="389"/>
    </row>
    <row r="169" spans="2:35" ht="15" customHeight="1" hidden="1">
      <c r="B169" s="391"/>
      <c r="C169" s="391"/>
      <c r="D169" s="386"/>
      <c r="E169" s="387"/>
      <c r="F169" s="387"/>
      <c r="G169" s="391"/>
      <c r="H169" s="389"/>
      <c r="I169" s="389"/>
      <c r="J169" s="389"/>
      <c r="K169" s="389"/>
      <c r="L169" s="389"/>
      <c r="M169" s="389"/>
      <c r="N169" s="389"/>
      <c r="O169" s="389"/>
      <c r="P169" s="389"/>
      <c r="Q169" s="389"/>
      <c r="R169" s="389"/>
      <c r="S169" s="389"/>
      <c r="T169" s="389"/>
      <c r="U169" s="389"/>
      <c r="V169" s="389"/>
      <c r="W169" s="389"/>
      <c r="X169" s="389"/>
      <c r="Y169" s="389"/>
      <c r="Z169" s="389">
        <f t="shared" si="41"/>
        <v>0</v>
      </c>
      <c r="AA169" s="389"/>
      <c r="AB169" s="389"/>
      <c r="AC169" s="389"/>
      <c r="AD169" s="389"/>
      <c r="AE169" s="389"/>
      <c r="AF169" s="389">
        <f t="shared" si="26"/>
        <v>0</v>
      </c>
      <c r="AG169" s="389"/>
      <c r="AH169" s="389"/>
      <c r="AI169" s="389"/>
    </row>
    <row r="170" spans="2:35" ht="15" customHeight="1" hidden="1">
      <c r="B170" s="391"/>
      <c r="C170" s="391"/>
      <c r="D170" s="386"/>
      <c r="E170" s="387"/>
      <c r="F170" s="387"/>
      <c r="G170" s="391"/>
      <c r="H170" s="389"/>
      <c r="I170" s="389"/>
      <c r="J170" s="389"/>
      <c r="K170" s="389"/>
      <c r="L170" s="389"/>
      <c r="M170" s="389"/>
      <c r="N170" s="389"/>
      <c r="O170" s="389"/>
      <c r="P170" s="389"/>
      <c r="Q170" s="389"/>
      <c r="R170" s="389"/>
      <c r="S170" s="389"/>
      <c r="T170" s="389"/>
      <c r="U170" s="389"/>
      <c r="V170" s="389"/>
      <c r="W170" s="389"/>
      <c r="X170" s="389"/>
      <c r="Y170" s="389"/>
      <c r="Z170" s="389">
        <f t="shared" si="41"/>
        <v>0</v>
      </c>
      <c r="AA170" s="389"/>
      <c r="AB170" s="389"/>
      <c r="AC170" s="389"/>
      <c r="AD170" s="389"/>
      <c r="AE170" s="389"/>
      <c r="AF170" s="389">
        <f t="shared" si="26"/>
        <v>0</v>
      </c>
      <c r="AG170" s="389"/>
      <c r="AH170" s="389"/>
      <c r="AI170" s="389"/>
    </row>
    <row r="171" spans="2:35" ht="15" customHeight="1" hidden="1">
      <c r="B171" s="391"/>
      <c r="C171" s="391"/>
      <c r="D171" s="386"/>
      <c r="E171" s="387"/>
      <c r="F171" s="387"/>
      <c r="G171" s="391"/>
      <c r="H171" s="389"/>
      <c r="I171" s="389"/>
      <c r="J171" s="389"/>
      <c r="K171" s="389"/>
      <c r="L171" s="389"/>
      <c r="M171" s="389"/>
      <c r="N171" s="389"/>
      <c r="O171" s="389"/>
      <c r="P171" s="389"/>
      <c r="Q171" s="389"/>
      <c r="R171" s="389"/>
      <c r="S171" s="389"/>
      <c r="T171" s="389"/>
      <c r="U171" s="389"/>
      <c r="V171" s="389"/>
      <c r="W171" s="389"/>
      <c r="X171" s="389"/>
      <c r="Y171" s="389"/>
      <c r="Z171" s="389">
        <f t="shared" si="41"/>
        <v>0</v>
      </c>
      <c r="AA171" s="389"/>
      <c r="AB171" s="389"/>
      <c r="AC171" s="389"/>
      <c r="AD171" s="389"/>
      <c r="AE171" s="389"/>
      <c r="AF171" s="389">
        <f t="shared" si="26"/>
        <v>0</v>
      </c>
      <c r="AG171" s="389"/>
      <c r="AH171" s="389"/>
      <c r="AI171" s="389"/>
    </row>
    <row r="172" spans="2:35" ht="15" customHeight="1" hidden="1">
      <c r="B172" s="391"/>
      <c r="C172" s="391"/>
      <c r="D172" s="386"/>
      <c r="E172" s="387"/>
      <c r="F172" s="387"/>
      <c r="G172" s="391"/>
      <c r="H172" s="389"/>
      <c r="I172" s="389"/>
      <c r="J172" s="389"/>
      <c r="K172" s="389"/>
      <c r="L172" s="389"/>
      <c r="M172" s="389"/>
      <c r="N172" s="389"/>
      <c r="O172" s="389"/>
      <c r="P172" s="389"/>
      <c r="Q172" s="389"/>
      <c r="R172" s="389"/>
      <c r="S172" s="389"/>
      <c r="T172" s="389"/>
      <c r="U172" s="389"/>
      <c r="V172" s="389"/>
      <c r="W172" s="389"/>
      <c r="X172" s="389"/>
      <c r="Y172" s="389"/>
      <c r="Z172" s="389">
        <f t="shared" si="41"/>
        <v>0</v>
      </c>
      <c r="AA172" s="389"/>
      <c r="AB172" s="389"/>
      <c r="AC172" s="389"/>
      <c r="AD172" s="389"/>
      <c r="AE172" s="389"/>
      <c r="AF172" s="389">
        <f t="shared" si="26"/>
        <v>0</v>
      </c>
      <c r="AG172" s="389"/>
      <c r="AH172" s="389"/>
      <c r="AI172" s="389"/>
    </row>
    <row r="173" spans="2:35" ht="15" customHeight="1" hidden="1">
      <c r="B173" s="391"/>
      <c r="C173" s="391"/>
      <c r="D173" s="386"/>
      <c r="E173" s="387"/>
      <c r="F173" s="387"/>
      <c r="G173" s="391"/>
      <c r="H173" s="389"/>
      <c r="I173" s="389"/>
      <c r="J173" s="389"/>
      <c r="K173" s="389"/>
      <c r="L173" s="389"/>
      <c r="M173" s="389"/>
      <c r="N173" s="389"/>
      <c r="O173" s="389"/>
      <c r="P173" s="389"/>
      <c r="Q173" s="389"/>
      <c r="R173" s="389"/>
      <c r="S173" s="389"/>
      <c r="T173" s="389"/>
      <c r="U173" s="389"/>
      <c r="V173" s="389"/>
      <c r="W173" s="389"/>
      <c r="X173" s="389"/>
      <c r="Y173" s="389"/>
      <c r="Z173" s="389">
        <f t="shared" si="41"/>
        <v>0</v>
      </c>
      <c r="AA173" s="389"/>
      <c r="AB173" s="389"/>
      <c r="AC173" s="389"/>
      <c r="AD173" s="389"/>
      <c r="AE173" s="389"/>
      <c r="AF173" s="389">
        <f t="shared" si="26"/>
        <v>0</v>
      </c>
      <c r="AG173" s="389"/>
      <c r="AH173" s="389"/>
      <c r="AI173" s="389"/>
    </row>
    <row r="174" spans="2:35" ht="15" customHeight="1" hidden="1">
      <c r="B174" s="391"/>
      <c r="C174" s="391"/>
      <c r="D174" s="386"/>
      <c r="E174" s="387"/>
      <c r="F174" s="387"/>
      <c r="G174" s="391"/>
      <c r="H174" s="389"/>
      <c r="I174" s="389"/>
      <c r="J174" s="389"/>
      <c r="K174" s="389"/>
      <c r="L174" s="389"/>
      <c r="M174" s="389"/>
      <c r="N174" s="389"/>
      <c r="O174" s="389"/>
      <c r="P174" s="389"/>
      <c r="Q174" s="389"/>
      <c r="R174" s="389"/>
      <c r="S174" s="389"/>
      <c r="T174" s="389"/>
      <c r="U174" s="389"/>
      <c r="V174" s="389"/>
      <c r="W174" s="389"/>
      <c r="X174" s="389"/>
      <c r="Y174" s="389"/>
      <c r="Z174" s="389">
        <f t="shared" si="41"/>
        <v>0</v>
      </c>
      <c r="AA174" s="389"/>
      <c r="AB174" s="389"/>
      <c r="AC174" s="389"/>
      <c r="AD174" s="389"/>
      <c r="AE174" s="389"/>
      <c r="AF174" s="389">
        <f t="shared" si="26"/>
        <v>0</v>
      </c>
      <c r="AG174" s="389"/>
      <c r="AH174" s="389"/>
      <c r="AI174" s="389"/>
    </row>
    <row r="175" spans="2:35" ht="15" customHeight="1" hidden="1">
      <c r="B175" s="391"/>
      <c r="C175" s="391"/>
      <c r="D175" s="386"/>
      <c r="E175" s="387"/>
      <c r="F175" s="387"/>
      <c r="G175" s="391"/>
      <c r="H175" s="389"/>
      <c r="I175" s="389"/>
      <c r="J175" s="389"/>
      <c r="K175" s="389"/>
      <c r="L175" s="389"/>
      <c r="M175" s="389"/>
      <c r="N175" s="389"/>
      <c r="O175" s="389"/>
      <c r="P175" s="389"/>
      <c r="Q175" s="389"/>
      <c r="R175" s="389"/>
      <c r="S175" s="389"/>
      <c r="T175" s="389"/>
      <c r="U175" s="389"/>
      <c r="V175" s="389"/>
      <c r="W175" s="389"/>
      <c r="X175" s="389"/>
      <c r="Y175" s="389"/>
      <c r="Z175" s="389">
        <f t="shared" si="41"/>
        <v>0</v>
      </c>
      <c r="AA175" s="389"/>
      <c r="AB175" s="389"/>
      <c r="AC175" s="389"/>
      <c r="AD175" s="389"/>
      <c r="AE175" s="389"/>
      <c r="AF175" s="389">
        <f aca="true" t="shared" si="47" ref="AF175:AF238">+O175+P175+Q175+R175+S175</f>
        <v>0</v>
      </c>
      <c r="AG175" s="389"/>
      <c r="AH175" s="389"/>
      <c r="AI175" s="389"/>
    </row>
    <row r="176" spans="2:35" ht="15" customHeight="1" hidden="1">
      <c r="B176" s="391"/>
      <c r="C176" s="391"/>
      <c r="D176" s="386"/>
      <c r="E176" s="387"/>
      <c r="F176" s="387"/>
      <c r="G176" s="391"/>
      <c r="H176" s="389"/>
      <c r="I176" s="389"/>
      <c r="J176" s="389"/>
      <c r="K176" s="389"/>
      <c r="L176" s="389"/>
      <c r="M176" s="389"/>
      <c r="N176" s="389"/>
      <c r="O176" s="389"/>
      <c r="P176" s="389"/>
      <c r="Q176" s="389"/>
      <c r="R176" s="389"/>
      <c r="S176" s="389"/>
      <c r="T176" s="389"/>
      <c r="U176" s="389"/>
      <c r="V176" s="389"/>
      <c r="W176" s="389"/>
      <c r="X176" s="389"/>
      <c r="Y176" s="389"/>
      <c r="Z176" s="389">
        <f t="shared" si="41"/>
        <v>0</v>
      </c>
      <c r="AA176" s="389"/>
      <c r="AB176" s="389"/>
      <c r="AC176" s="389"/>
      <c r="AD176" s="389"/>
      <c r="AE176" s="389"/>
      <c r="AF176" s="389">
        <f t="shared" si="47"/>
        <v>0</v>
      </c>
      <c r="AG176" s="389"/>
      <c r="AH176" s="389"/>
      <c r="AI176" s="389"/>
    </row>
    <row r="177" spans="2:35" ht="15" customHeight="1" hidden="1">
      <c r="B177" s="391"/>
      <c r="C177" s="391"/>
      <c r="D177" s="386"/>
      <c r="E177" s="387"/>
      <c r="F177" s="387"/>
      <c r="G177" s="391"/>
      <c r="H177" s="389"/>
      <c r="I177" s="389"/>
      <c r="J177" s="389"/>
      <c r="K177" s="389"/>
      <c r="L177" s="389"/>
      <c r="M177" s="389"/>
      <c r="N177" s="389"/>
      <c r="O177" s="389"/>
      <c r="P177" s="389"/>
      <c r="Q177" s="389"/>
      <c r="R177" s="389"/>
      <c r="S177" s="389"/>
      <c r="T177" s="389"/>
      <c r="U177" s="389"/>
      <c r="V177" s="389"/>
      <c r="W177" s="389"/>
      <c r="X177" s="389"/>
      <c r="Y177" s="389"/>
      <c r="Z177" s="389">
        <f t="shared" si="41"/>
        <v>0</v>
      </c>
      <c r="AA177" s="389"/>
      <c r="AB177" s="389"/>
      <c r="AC177" s="389"/>
      <c r="AD177" s="389"/>
      <c r="AE177" s="389"/>
      <c r="AF177" s="389">
        <f t="shared" si="47"/>
        <v>0</v>
      </c>
      <c r="AG177" s="389"/>
      <c r="AH177" s="389"/>
      <c r="AI177" s="389"/>
    </row>
    <row r="178" spans="2:35" ht="15" customHeight="1" hidden="1">
      <c r="B178" s="391"/>
      <c r="C178" s="391"/>
      <c r="D178" s="386"/>
      <c r="E178" s="387"/>
      <c r="F178" s="387"/>
      <c r="G178" s="391"/>
      <c r="H178" s="389"/>
      <c r="I178" s="389"/>
      <c r="J178" s="389"/>
      <c r="K178" s="389"/>
      <c r="L178" s="389"/>
      <c r="M178" s="389"/>
      <c r="N178" s="389"/>
      <c r="O178" s="389"/>
      <c r="P178" s="389"/>
      <c r="Q178" s="389"/>
      <c r="R178" s="389"/>
      <c r="S178" s="389"/>
      <c r="T178" s="389"/>
      <c r="U178" s="389"/>
      <c r="V178" s="389"/>
      <c r="W178" s="389"/>
      <c r="X178" s="389"/>
      <c r="Y178" s="389"/>
      <c r="Z178" s="389">
        <f t="shared" si="41"/>
        <v>0</v>
      </c>
      <c r="AA178" s="389"/>
      <c r="AB178" s="389"/>
      <c r="AC178" s="389"/>
      <c r="AD178" s="389"/>
      <c r="AE178" s="389"/>
      <c r="AF178" s="389">
        <f t="shared" si="47"/>
        <v>0</v>
      </c>
      <c r="AG178" s="389"/>
      <c r="AH178" s="389"/>
      <c r="AI178" s="389"/>
    </row>
    <row r="179" spans="2:35" ht="15" customHeight="1" hidden="1">
      <c r="B179" s="391"/>
      <c r="C179" s="391"/>
      <c r="D179" s="386"/>
      <c r="E179" s="387"/>
      <c r="F179" s="387"/>
      <c r="G179" s="391"/>
      <c r="H179" s="389"/>
      <c r="I179" s="389"/>
      <c r="J179" s="389"/>
      <c r="K179" s="389"/>
      <c r="L179" s="389"/>
      <c r="M179" s="389"/>
      <c r="N179" s="389"/>
      <c r="O179" s="389"/>
      <c r="P179" s="389"/>
      <c r="Q179" s="389"/>
      <c r="R179" s="389"/>
      <c r="S179" s="389"/>
      <c r="T179" s="389"/>
      <c r="U179" s="389"/>
      <c r="V179" s="389"/>
      <c r="W179" s="389"/>
      <c r="X179" s="389"/>
      <c r="Y179" s="389"/>
      <c r="Z179" s="389">
        <f t="shared" si="41"/>
        <v>0</v>
      </c>
      <c r="AA179" s="389"/>
      <c r="AB179" s="389"/>
      <c r="AC179" s="389"/>
      <c r="AD179" s="389"/>
      <c r="AE179" s="389"/>
      <c r="AF179" s="389">
        <f t="shared" si="47"/>
        <v>0</v>
      </c>
      <c r="AG179" s="389"/>
      <c r="AH179" s="389"/>
      <c r="AI179" s="389"/>
    </row>
    <row r="180" spans="2:35" ht="15" customHeight="1" hidden="1">
      <c r="B180" s="391"/>
      <c r="C180" s="391"/>
      <c r="D180" s="386"/>
      <c r="E180" s="387"/>
      <c r="F180" s="387"/>
      <c r="G180" s="391"/>
      <c r="H180" s="389"/>
      <c r="I180" s="389"/>
      <c r="J180" s="389"/>
      <c r="K180" s="389"/>
      <c r="L180" s="389"/>
      <c r="M180" s="389"/>
      <c r="N180" s="389"/>
      <c r="O180" s="389"/>
      <c r="P180" s="389"/>
      <c r="Q180" s="389"/>
      <c r="R180" s="389"/>
      <c r="S180" s="389"/>
      <c r="T180" s="389"/>
      <c r="U180" s="389"/>
      <c r="V180" s="389"/>
      <c r="W180" s="389"/>
      <c r="X180" s="389"/>
      <c r="Y180" s="389"/>
      <c r="Z180" s="389">
        <f t="shared" si="41"/>
        <v>0</v>
      </c>
      <c r="AA180" s="389"/>
      <c r="AB180" s="389"/>
      <c r="AC180" s="389"/>
      <c r="AD180" s="389"/>
      <c r="AE180" s="389"/>
      <c r="AF180" s="389">
        <f t="shared" si="47"/>
        <v>0</v>
      </c>
      <c r="AG180" s="389"/>
      <c r="AH180" s="389"/>
      <c r="AI180" s="389"/>
    </row>
    <row r="181" spans="2:35" ht="30" customHeight="1" hidden="1">
      <c r="B181" s="381"/>
      <c r="C181" s="381"/>
      <c r="D181" s="381">
        <f>'[1]GASTOS MATRIZ'!C176</f>
        <v>846</v>
      </c>
      <c r="E181" s="390"/>
      <c r="F181" s="390"/>
      <c r="G181" s="403" t="str">
        <f>'[1]GASTOS MATRIZ'!F176</f>
        <v>Subsidio y Asistencia Social a Personas y Familias del Sector Privado</v>
      </c>
      <c r="H181" s="395">
        <f aca="true" t="shared" si="48" ref="H181:M181">SUM(H182:H184)</f>
        <v>0</v>
      </c>
      <c r="I181" s="395">
        <f t="shared" si="48"/>
        <v>0</v>
      </c>
      <c r="J181" s="395">
        <f t="shared" si="48"/>
        <v>0</v>
      </c>
      <c r="K181" s="395">
        <f t="shared" si="48"/>
        <v>0</v>
      </c>
      <c r="L181" s="395">
        <f t="shared" si="48"/>
        <v>0</v>
      </c>
      <c r="M181" s="395">
        <f t="shared" si="48"/>
        <v>0</v>
      </c>
      <c r="N181" s="395"/>
      <c r="O181" s="395">
        <f>SUM(E181:J181)</f>
        <v>0</v>
      </c>
      <c r="P181" s="395"/>
      <c r="Q181" s="395"/>
      <c r="R181" s="395"/>
      <c r="S181" s="395"/>
      <c r="T181" s="395">
        <f>SUM(K181:P181)</f>
        <v>0</v>
      </c>
      <c r="U181" s="395">
        <f>SUM(U182:U184)</f>
        <v>0</v>
      </c>
      <c r="V181" s="395">
        <f>SUM(V182:V184)</f>
        <v>0</v>
      </c>
      <c r="W181" s="395">
        <f>SUM(W182:W184)</f>
        <v>0</v>
      </c>
      <c r="X181" s="395">
        <f>SUM(X182:X184)</f>
        <v>0</v>
      </c>
      <c r="Y181" s="395">
        <f>SUM(U181:X181)</f>
        <v>0</v>
      </c>
      <c r="Z181" s="395">
        <f t="shared" si="41"/>
        <v>0</v>
      </c>
      <c r="AA181" s="395">
        <f>SUM(AA182:AA184)</f>
        <v>0</v>
      </c>
      <c r="AB181" s="395">
        <f>SUM(AB182:AB184)</f>
        <v>0</v>
      </c>
      <c r="AC181" s="395">
        <f>SUM(AC182:AC184)</f>
        <v>0</v>
      </c>
      <c r="AD181" s="395">
        <f>SUM(AD182:AD184)</f>
        <v>0</v>
      </c>
      <c r="AE181" s="395">
        <f>SUM(AA181:AD181)</f>
        <v>0</v>
      </c>
      <c r="AF181" s="395">
        <f t="shared" si="47"/>
        <v>0</v>
      </c>
      <c r="AG181" s="395">
        <f>SUM(AG182:AG184)</f>
        <v>0</v>
      </c>
      <c r="AH181" s="395">
        <f>SUM(AH182:AH184)</f>
        <v>0</v>
      </c>
      <c r="AI181" s="395">
        <f>SUM(AI182:AI184)</f>
        <v>0</v>
      </c>
    </row>
    <row r="182" spans="2:35" ht="15" customHeight="1" hidden="1">
      <c r="B182" s="391"/>
      <c r="C182" s="391"/>
      <c r="D182" s="386"/>
      <c r="E182" s="387"/>
      <c r="F182" s="387"/>
      <c r="G182" s="391"/>
      <c r="H182" s="389"/>
      <c r="I182" s="389"/>
      <c r="J182" s="389"/>
      <c r="K182" s="389"/>
      <c r="L182" s="389"/>
      <c r="M182" s="389"/>
      <c r="N182" s="389"/>
      <c r="O182" s="389"/>
      <c r="P182" s="389"/>
      <c r="Q182" s="389"/>
      <c r="R182" s="389"/>
      <c r="S182" s="389"/>
      <c r="T182" s="389"/>
      <c r="U182" s="389"/>
      <c r="V182" s="389"/>
      <c r="W182" s="389"/>
      <c r="X182" s="389"/>
      <c r="Y182" s="389"/>
      <c r="Z182" s="389">
        <f t="shared" si="41"/>
        <v>0</v>
      </c>
      <c r="AA182" s="389"/>
      <c r="AB182" s="389"/>
      <c r="AC182" s="389"/>
      <c r="AD182" s="389"/>
      <c r="AE182" s="389"/>
      <c r="AF182" s="389">
        <f t="shared" si="47"/>
        <v>0</v>
      </c>
      <c r="AG182" s="389"/>
      <c r="AH182" s="389"/>
      <c r="AI182" s="389"/>
    </row>
    <row r="183" spans="2:35" ht="15" customHeight="1" hidden="1">
      <c r="B183" s="391"/>
      <c r="C183" s="391"/>
      <c r="D183" s="386"/>
      <c r="E183" s="387"/>
      <c r="F183" s="387"/>
      <c r="G183" s="391"/>
      <c r="H183" s="389"/>
      <c r="I183" s="389"/>
      <c r="J183" s="389"/>
      <c r="K183" s="389"/>
      <c r="L183" s="389"/>
      <c r="M183" s="389"/>
      <c r="N183" s="389"/>
      <c r="O183" s="389"/>
      <c r="P183" s="389"/>
      <c r="Q183" s="389"/>
      <c r="R183" s="389"/>
      <c r="S183" s="389"/>
      <c r="T183" s="389"/>
      <c r="U183" s="389"/>
      <c r="V183" s="389"/>
      <c r="W183" s="389"/>
      <c r="X183" s="389"/>
      <c r="Y183" s="389"/>
      <c r="Z183" s="389">
        <f t="shared" si="41"/>
        <v>0</v>
      </c>
      <c r="AA183" s="389"/>
      <c r="AB183" s="389"/>
      <c r="AC183" s="389"/>
      <c r="AD183" s="389"/>
      <c r="AE183" s="389"/>
      <c r="AF183" s="389">
        <f t="shared" si="47"/>
        <v>0</v>
      </c>
      <c r="AG183" s="389"/>
      <c r="AH183" s="389"/>
      <c r="AI183" s="389"/>
    </row>
    <row r="184" spans="2:35" ht="15" customHeight="1" hidden="1">
      <c r="B184" s="391"/>
      <c r="C184" s="391"/>
      <c r="D184" s="386"/>
      <c r="E184" s="387"/>
      <c r="F184" s="387"/>
      <c r="G184" s="391"/>
      <c r="H184" s="389"/>
      <c r="I184" s="389"/>
      <c r="J184" s="389"/>
      <c r="K184" s="389"/>
      <c r="L184" s="389"/>
      <c r="M184" s="389"/>
      <c r="N184" s="389"/>
      <c r="O184" s="389"/>
      <c r="P184" s="389"/>
      <c r="Q184" s="389"/>
      <c r="R184" s="389"/>
      <c r="S184" s="389"/>
      <c r="T184" s="389"/>
      <c r="U184" s="389"/>
      <c r="V184" s="389"/>
      <c r="W184" s="389"/>
      <c r="X184" s="389"/>
      <c r="Y184" s="389"/>
      <c r="Z184" s="389">
        <f t="shared" si="41"/>
        <v>0</v>
      </c>
      <c r="AA184" s="389"/>
      <c r="AB184" s="389"/>
      <c r="AC184" s="389"/>
      <c r="AD184" s="389"/>
      <c r="AE184" s="389"/>
      <c r="AF184" s="389">
        <f t="shared" si="47"/>
        <v>0</v>
      </c>
      <c r="AG184" s="389"/>
      <c r="AH184" s="389"/>
      <c r="AI184" s="389"/>
    </row>
    <row r="185" spans="2:35" ht="15" customHeight="1" hidden="1">
      <c r="B185" s="391"/>
      <c r="C185" s="391"/>
      <c r="D185" s="386"/>
      <c r="E185" s="387"/>
      <c r="F185" s="387"/>
      <c r="G185" s="391"/>
      <c r="H185" s="389"/>
      <c r="I185" s="389"/>
      <c r="J185" s="389"/>
      <c r="K185" s="389"/>
      <c r="L185" s="389"/>
      <c r="M185" s="389"/>
      <c r="N185" s="389"/>
      <c r="O185" s="389"/>
      <c r="P185" s="389"/>
      <c r="Q185" s="389"/>
      <c r="R185" s="389"/>
      <c r="S185" s="389"/>
      <c r="T185" s="389"/>
      <c r="U185" s="389"/>
      <c r="V185" s="389"/>
      <c r="W185" s="389"/>
      <c r="X185" s="389"/>
      <c r="Y185" s="389"/>
      <c r="Z185" s="389">
        <f t="shared" si="41"/>
        <v>0</v>
      </c>
      <c r="AA185" s="389"/>
      <c r="AB185" s="389"/>
      <c r="AC185" s="389"/>
      <c r="AD185" s="389"/>
      <c r="AE185" s="389"/>
      <c r="AF185" s="389">
        <f t="shared" si="47"/>
        <v>0</v>
      </c>
      <c r="AG185" s="389"/>
      <c r="AH185" s="389"/>
      <c r="AI185" s="389"/>
    </row>
    <row r="186" spans="2:35" ht="30" customHeight="1" hidden="1">
      <c r="B186" s="381"/>
      <c r="C186" s="381"/>
      <c r="D186" s="381">
        <f>'[1]GASTOS MATRIZ'!C181</f>
        <v>848</v>
      </c>
      <c r="E186" s="390"/>
      <c r="F186" s="390"/>
      <c r="G186" s="403" t="str">
        <f>'[1]GASTOS MATRIZ'!F181</f>
        <v>Transferencias para Complemento Nutricional en  las Escuelas Públicas</v>
      </c>
      <c r="H186" s="395">
        <f aca="true" t="shared" si="49" ref="H186:M186">H187</f>
        <v>0</v>
      </c>
      <c r="I186" s="395">
        <f t="shared" si="49"/>
        <v>0</v>
      </c>
      <c r="J186" s="395">
        <f t="shared" si="49"/>
        <v>0</v>
      </c>
      <c r="K186" s="395">
        <f t="shared" si="49"/>
        <v>0</v>
      </c>
      <c r="L186" s="395">
        <f t="shared" si="49"/>
        <v>0</v>
      </c>
      <c r="M186" s="395">
        <f t="shared" si="49"/>
        <v>0</v>
      </c>
      <c r="N186" s="395"/>
      <c r="O186" s="395">
        <f>SUM(E186:J186)</f>
        <v>0</v>
      </c>
      <c r="P186" s="395"/>
      <c r="Q186" s="395"/>
      <c r="R186" s="395"/>
      <c r="S186" s="395"/>
      <c r="T186" s="395">
        <f>SUM(K186:P186)</f>
        <v>0</v>
      </c>
      <c r="U186" s="395">
        <f>U187</f>
        <v>0</v>
      </c>
      <c r="V186" s="395">
        <f>V187</f>
        <v>0</v>
      </c>
      <c r="W186" s="395">
        <f>W187</f>
        <v>0</v>
      </c>
      <c r="X186" s="395">
        <f>X187</f>
        <v>0</v>
      </c>
      <c r="Y186" s="395">
        <f>SUM(U186:X186)</f>
        <v>0</v>
      </c>
      <c r="Z186" s="395">
        <f t="shared" si="41"/>
        <v>0</v>
      </c>
      <c r="AA186" s="395">
        <f>AA187</f>
        <v>0</v>
      </c>
      <c r="AB186" s="395">
        <f>AB187</f>
        <v>0</v>
      </c>
      <c r="AC186" s="395">
        <f>AC187</f>
        <v>0</v>
      </c>
      <c r="AD186" s="395">
        <f>AD187</f>
        <v>0</v>
      </c>
      <c r="AE186" s="395">
        <f>SUM(AA186:AD186)</f>
        <v>0</v>
      </c>
      <c r="AF186" s="395">
        <f t="shared" si="47"/>
        <v>0</v>
      </c>
      <c r="AG186" s="395">
        <f>AG187</f>
        <v>0</v>
      </c>
      <c r="AH186" s="395">
        <f>AH187</f>
        <v>0</v>
      </c>
      <c r="AI186" s="395">
        <f>AI187</f>
        <v>0</v>
      </c>
    </row>
    <row r="187" spans="2:35" ht="15" customHeight="1" hidden="1">
      <c r="B187" s="391"/>
      <c r="C187" s="391"/>
      <c r="D187" s="386"/>
      <c r="E187" s="387"/>
      <c r="F187" s="387"/>
      <c r="G187" s="391"/>
      <c r="H187" s="389"/>
      <c r="I187" s="389"/>
      <c r="J187" s="389"/>
      <c r="K187" s="389"/>
      <c r="L187" s="389"/>
      <c r="M187" s="389"/>
      <c r="N187" s="389"/>
      <c r="O187" s="389"/>
      <c r="P187" s="389"/>
      <c r="Q187" s="389"/>
      <c r="R187" s="389"/>
      <c r="S187" s="389"/>
      <c r="T187" s="389"/>
      <c r="U187" s="389"/>
      <c r="V187" s="389"/>
      <c r="W187" s="389"/>
      <c r="X187" s="389"/>
      <c r="Y187" s="389"/>
      <c r="Z187" s="389">
        <f t="shared" si="41"/>
        <v>0</v>
      </c>
      <c r="AA187" s="389"/>
      <c r="AB187" s="389"/>
      <c r="AC187" s="389"/>
      <c r="AD187" s="389"/>
      <c r="AE187" s="389"/>
      <c r="AF187" s="389">
        <f t="shared" si="47"/>
        <v>0</v>
      </c>
      <c r="AG187" s="389"/>
      <c r="AH187" s="389"/>
      <c r="AI187" s="389"/>
    </row>
    <row r="188" spans="2:35" ht="15" customHeight="1" hidden="1">
      <c r="B188" s="391"/>
      <c r="C188" s="391"/>
      <c r="D188" s="386"/>
      <c r="E188" s="387"/>
      <c r="F188" s="387"/>
      <c r="G188" s="391"/>
      <c r="H188" s="389"/>
      <c r="I188" s="389"/>
      <c r="J188" s="389"/>
      <c r="K188" s="389"/>
      <c r="L188" s="389"/>
      <c r="M188" s="389"/>
      <c r="N188" s="389"/>
      <c r="O188" s="389"/>
      <c r="P188" s="389"/>
      <c r="Q188" s="389"/>
      <c r="R188" s="389"/>
      <c r="S188" s="389"/>
      <c r="T188" s="389"/>
      <c r="U188" s="389"/>
      <c r="V188" s="389"/>
      <c r="W188" s="389"/>
      <c r="X188" s="389"/>
      <c r="Y188" s="389"/>
      <c r="Z188" s="389">
        <f t="shared" si="41"/>
        <v>0</v>
      </c>
      <c r="AA188" s="389"/>
      <c r="AB188" s="389"/>
      <c r="AC188" s="389"/>
      <c r="AD188" s="389"/>
      <c r="AE188" s="389"/>
      <c r="AF188" s="389">
        <f t="shared" si="47"/>
        <v>0</v>
      </c>
      <c r="AG188" s="389"/>
      <c r="AH188" s="389"/>
      <c r="AI188" s="389"/>
    </row>
    <row r="189" spans="2:35" ht="15" customHeight="1" hidden="1">
      <c r="B189" s="381">
        <f>'[1]GASTOS MATRIZ'!A185</f>
        <v>900</v>
      </c>
      <c r="C189" s="381"/>
      <c r="D189" s="381"/>
      <c r="E189" s="390"/>
      <c r="F189" s="390"/>
      <c r="G189" s="383" t="str">
        <f>'[1]GASTOS MATRIZ'!F185</f>
        <v>OTROS GASTOS</v>
      </c>
      <c r="H189" s="382">
        <f aca="true" t="shared" si="50" ref="H189:M189">H190+H194+H197+H201</f>
        <v>0</v>
      </c>
      <c r="I189" s="382">
        <f t="shared" si="50"/>
        <v>0</v>
      </c>
      <c r="J189" s="382">
        <f t="shared" si="50"/>
        <v>0</v>
      </c>
      <c r="K189" s="382">
        <f t="shared" si="50"/>
        <v>0</v>
      </c>
      <c r="L189" s="382">
        <f t="shared" si="50"/>
        <v>0</v>
      </c>
      <c r="M189" s="382">
        <f t="shared" si="50"/>
        <v>0</v>
      </c>
      <c r="N189" s="382"/>
      <c r="O189" s="382">
        <f>SUM(E189:J189)</f>
        <v>0</v>
      </c>
      <c r="P189" s="382"/>
      <c r="Q189" s="382"/>
      <c r="R189" s="382"/>
      <c r="S189" s="382"/>
      <c r="T189" s="382">
        <f>SUM(K189:P189)</f>
        <v>0</v>
      </c>
      <c r="U189" s="382">
        <f>U190+U194+U197+U201</f>
        <v>0</v>
      </c>
      <c r="V189" s="382">
        <f>V190+V194+V197+V201</f>
        <v>0</v>
      </c>
      <c r="W189" s="382">
        <f>W190+W194+W197+W201</f>
        <v>0</v>
      </c>
      <c r="X189" s="382">
        <f>X190+X194+X197+X201</f>
        <v>0</v>
      </c>
      <c r="Y189" s="382">
        <f>SUM(U189:X189)</f>
        <v>0</v>
      </c>
      <c r="Z189" s="382">
        <f t="shared" si="41"/>
        <v>0</v>
      </c>
      <c r="AA189" s="382">
        <f>AA190+AA194+AA197+AA201</f>
        <v>0</v>
      </c>
      <c r="AB189" s="382">
        <f>AB190+AB194+AB197+AB201</f>
        <v>0</v>
      </c>
      <c r="AC189" s="382">
        <f>AC190+AC194+AC197+AC201</f>
        <v>0</v>
      </c>
      <c r="AD189" s="382">
        <f>AD190+AD194+AD197+AD201</f>
        <v>0</v>
      </c>
      <c r="AE189" s="382">
        <f>SUM(AA189:AD189)</f>
        <v>0</v>
      </c>
      <c r="AF189" s="382">
        <f t="shared" si="47"/>
        <v>0</v>
      </c>
      <c r="AG189" s="382">
        <f>AG190+AG194+AG197+AG201</f>
        <v>0</v>
      </c>
      <c r="AH189" s="382">
        <f>AH190+AH194+AH197+AH201</f>
        <v>0</v>
      </c>
      <c r="AI189" s="382">
        <f>AI190+AI194+AI197+AI201</f>
        <v>0</v>
      </c>
    </row>
    <row r="190" spans="2:35" ht="15" customHeight="1" hidden="1">
      <c r="B190" s="383"/>
      <c r="C190" s="383">
        <f>'[1]GASTOS MATRIZ'!B186</f>
        <v>910</v>
      </c>
      <c r="D190" s="381"/>
      <c r="E190" s="390"/>
      <c r="F190" s="390"/>
      <c r="G190" s="383" t="str">
        <f>'[1]GASTOS MATRIZ'!F186</f>
        <v>Pagos de Imp. Tasas y Gastos Judicial.</v>
      </c>
      <c r="H190" s="382">
        <f aca="true" t="shared" si="51" ref="H190:M190">SUM(H191:H193)</f>
        <v>0</v>
      </c>
      <c r="I190" s="382">
        <f t="shared" si="51"/>
        <v>0</v>
      </c>
      <c r="J190" s="382">
        <f t="shared" si="51"/>
        <v>0</v>
      </c>
      <c r="K190" s="382">
        <f t="shared" si="51"/>
        <v>0</v>
      </c>
      <c r="L190" s="382">
        <f t="shared" si="51"/>
        <v>0</v>
      </c>
      <c r="M190" s="382">
        <f t="shared" si="51"/>
        <v>0</v>
      </c>
      <c r="N190" s="382"/>
      <c r="O190" s="382">
        <f>SUM(E190:J190)</f>
        <v>0</v>
      </c>
      <c r="P190" s="382"/>
      <c r="Q190" s="382"/>
      <c r="R190" s="382"/>
      <c r="S190" s="382"/>
      <c r="T190" s="382">
        <f>SUM(K190:P190)</f>
        <v>0</v>
      </c>
      <c r="U190" s="382">
        <f>SUM(U191:U193)</f>
        <v>0</v>
      </c>
      <c r="V190" s="382">
        <f>SUM(V191:V193)</f>
        <v>0</v>
      </c>
      <c r="W190" s="382">
        <f>SUM(W191:W193)</f>
        <v>0</v>
      </c>
      <c r="X190" s="382">
        <f>SUM(X191:X193)</f>
        <v>0</v>
      </c>
      <c r="Y190" s="382">
        <f>SUM(U190:X190)</f>
        <v>0</v>
      </c>
      <c r="Z190" s="382">
        <f t="shared" si="41"/>
        <v>0</v>
      </c>
      <c r="AA190" s="382">
        <f>SUM(AA191:AA193)</f>
        <v>0</v>
      </c>
      <c r="AB190" s="382">
        <f>SUM(AB191:AB193)</f>
        <v>0</v>
      </c>
      <c r="AC190" s="382">
        <f>SUM(AC191:AC193)</f>
        <v>0</v>
      </c>
      <c r="AD190" s="382">
        <f>SUM(AD191:AD193)</f>
        <v>0</v>
      </c>
      <c r="AE190" s="382">
        <f>SUM(AA190:AD190)</f>
        <v>0</v>
      </c>
      <c r="AF190" s="382">
        <f t="shared" si="47"/>
        <v>0</v>
      </c>
      <c r="AG190" s="382">
        <f>SUM(AG191:AG193)</f>
        <v>0</v>
      </c>
      <c r="AH190" s="382">
        <f>SUM(AH191:AH193)</f>
        <v>0</v>
      </c>
      <c r="AI190" s="382">
        <f>SUM(AI191:AI193)</f>
        <v>0</v>
      </c>
    </row>
    <row r="191" spans="2:35" ht="15" customHeight="1" hidden="1">
      <c r="B191" s="391"/>
      <c r="C191" s="391"/>
      <c r="D191" s="386">
        <f>'[1]GASTOS MATRIZ'!C187</f>
        <v>910</v>
      </c>
      <c r="E191" s="387" t="str">
        <f>'[1]GASTOS MATRIZ'!D187</f>
        <v>30</v>
      </c>
      <c r="F191" s="387" t="str">
        <f>'[1]GASTOS MATRIZ'!E187</f>
        <v>011</v>
      </c>
      <c r="G191" s="391" t="str">
        <f>'[1]GASTOS MATRIZ'!F187</f>
        <v>Pagos de Impuestos, Tasas y Gastos Judiciales</v>
      </c>
      <c r="H191" s="389">
        <f>'[1]GASTOS MATRIZ'!G187</f>
        <v>0</v>
      </c>
      <c r="I191" s="389">
        <f>'[1]GASTOS MATRIZ'!H187</f>
        <v>0</v>
      </c>
      <c r="J191" s="389">
        <f>H191+I191</f>
        <v>0</v>
      </c>
      <c r="K191" s="389">
        <f>'[1]RESU X MES'!H177</f>
        <v>0</v>
      </c>
      <c r="L191" s="389">
        <f>'[1]RESU X MES'!H435</f>
        <v>0</v>
      </c>
      <c r="M191" s="389">
        <f>'[1]RESU X MES'!H694</f>
        <v>0</v>
      </c>
      <c r="N191" s="389"/>
      <c r="O191" s="389">
        <f>SUM(E191:J191)</f>
        <v>0</v>
      </c>
      <c r="P191" s="389"/>
      <c r="Q191" s="389"/>
      <c r="R191" s="389"/>
      <c r="S191" s="389"/>
      <c r="T191" s="389">
        <f>SUM(K191:P191)</f>
        <v>0</v>
      </c>
      <c r="U191" s="389">
        <f>'[1]RESU X MES'!H1218</f>
        <v>0</v>
      </c>
      <c r="V191" s="389">
        <f>'[1]RESU X MES'!H1480</f>
        <v>0</v>
      </c>
      <c r="W191" s="389">
        <f>'[1]RESU X MES'!H1743</f>
        <v>0</v>
      </c>
      <c r="X191" s="389">
        <f>'[1]RESU X MES'!H2004</f>
        <v>0</v>
      </c>
      <c r="Y191" s="389">
        <f>SUM(U191:X191)</f>
        <v>0</v>
      </c>
      <c r="Z191" s="389">
        <f t="shared" si="41"/>
        <v>0</v>
      </c>
      <c r="AA191" s="389">
        <f>'[1]RESU X MES'!H2263</f>
        <v>0</v>
      </c>
      <c r="AB191" s="389">
        <f>'[1]RESU X MES'!H2525</f>
        <v>0</v>
      </c>
      <c r="AC191" s="389">
        <f>'[1]RESU X MES'!H2787</f>
        <v>0</v>
      </c>
      <c r="AD191" s="389">
        <f>'[1]RESU X MES'!H3051</f>
        <v>0</v>
      </c>
      <c r="AE191" s="389">
        <f>SUM(AA191:AD191)</f>
        <v>0</v>
      </c>
      <c r="AF191" s="389">
        <f t="shared" si="47"/>
        <v>0</v>
      </c>
      <c r="AG191" s="389">
        <f>J191-AF191</f>
        <v>0</v>
      </c>
      <c r="AH191" s="389">
        <f>AF191-AI191</f>
        <v>0</v>
      </c>
      <c r="AI191" s="389">
        <f>'[1]RESU X MES'!N177+'[1]RESU X MES'!N435+'[1]RESU X MES'!N694+'[1]RESU X MES'!N957+'[1]RESU X MES'!N1218+'[1]RESU X MES'!N1480+'[1]RESU X MES'!N1743+'[1]RESU X MES'!N2004+'[1]RESU X MES'!N2263+'[1]RESU X MES'!N2525+'[1]RESU X MES'!N2787+'[1]RESU X MES'!N3051</f>
        <v>0</v>
      </c>
    </row>
    <row r="192" spans="2:35" ht="15" customHeight="1" hidden="1">
      <c r="B192" s="391"/>
      <c r="C192" s="391"/>
      <c r="D192" s="386"/>
      <c r="E192" s="387"/>
      <c r="F192" s="387"/>
      <c r="G192" s="391"/>
      <c r="H192" s="389"/>
      <c r="I192" s="389"/>
      <c r="J192" s="389"/>
      <c r="K192" s="389"/>
      <c r="L192" s="389"/>
      <c r="M192" s="389"/>
      <c r="N192" s="389"/>
      <c r="O192" s="389"/>
      <c r="P192" s="389"/>
      <c r="Q192" s="389"/>
      <c r="R192" s="389"/>
      <c r="S192" s="389"/>
      <c r="T192" s="389"/>
      <c r="U192" s="389"/>
      <c r="V192" s="389"/>
      <c r="W192" s="389"/>
      <c r="X192" s="389"/>
      <c r="Y192" s="389"/>
      <c r="Z192" s="389">
        <f t="shared" si="41"/>
        <v>0</v>
      </c>
      <c r="AA192" s="389"/>
      <c r="AB192" s="389"/>
      <c r="AC192" s="389"/>
      <c r="AD192" s="389"/>
      <c r="AE192" s="389"/>
      <c r="AF192" s="389">
        <f t="shared" si="47"/>
        <v>0</v>
      </c>
      <c r="AG192" s="389"/>
      <c r="AH192" s="389"/>
      <c r="AI192" s="389"/>
    </row>
    <row r="193" spans="2:35" ht="15" customHeight="1" hidden="1">
      <c r="B193" s="391"/>
      <c r="C193" s="391"/>
      <c r="D193" s="386"/>
      <c r="E193" s="387"/>
      <c r="F193" s="387"/>
      <c r="G193" s="391"/>
      <c r="H193" s="389"/>
      <c r="I193" s="389"/>
      <c r="J193" s="389"/>
      <c r="K193" s="389"/>
      <c r="L193" s="389"/>
      <c r="M193" s="389"/>
      <c r="N193" s="389"/>
      <c r="O193" s="389"/>
      <c r="P193" s="389"/>
      <c r="Q193" s="389"/>
      <c r="R193" s="389"/>
      <c r="S193" s="389"/>
      <c r="T193" s="389"/>
      <c r="U193" s="389"/>
      <c r="V193" s="389"/>
      <c r="W193" s="389"/>
      <c r="X193" s="389"/>
      <c r="Y193" s="389"/>
      <c r="Z193" s="389">
        <f t="shared" si="41"/>
        <v>0</v>
      </c>
      <c r="AA193" s="389"/>
      <c r="AB193" s="389"/>
      <c r="AC193" s="389"/>
      <c r="AD193" s="389"/>
      <c r="AE193" s="389"/>
      <c r="AF193" s="389">
        <f t="shared" si="47"/>
        <v>0</v>
      </c>
      <c r="AG193" s="389"/>
      <c r="AH193" s="389"/>
      <c r="AI193" s="389"/>
    </row>
    <row r="194" spans="2:35" ht="15" customHeight="1" hidden="1">
      <c r="B194" s="383"/>
      <c r="C194" s="383">
        <f>'[1]GASTOS MATRIZ'!B190</f>
        <v>920</v>
      </c>
      <c r="D194" s="381"/>
      <c r="E194" s="390"/>
      <c r="F194" s="390"/>
      <c r="G194" s="383" t="str">
        <f>'[1]GASTOS MATRIZ'!F190</f>
        <v>Devol. de Imp. y otros Ing. no Tributario</v>
      </c>
      <c r="H194" s="382">
        <f aca="true" t="shared" si="52" ref="H194:M194">H195</f>
        <v>0</v>
      </c>
      <c r="I194" s="382">
        <f t="shared" si="52"/>
        <v>0</v>
      </c>
      <c r="J194" s="382">
        <f t="shared" si="52"/>
        <v>0</v>
      </c>
      <c r="K194" s="382">
        <f t="shared" si="52"/>
        <v>0</v>
      </c>
      <c r="L194" s="382">
        <f t="shared" si="52"/>
        <v>0</v>
      </c>
      <c r="M194" s="382">
        <f t="shared" si="52"/>
        <v>0</v>
      </c>
      <c r="N194" s="382"/>
      <c r="O194" s="382">
        <f>SUM(E194:J194)</f>
        <v>0</v>
      </c>
      <c r="P194" s="382"/>
      <c r="Q194" s="382"/>
      <c r="R194" s="382"/>
      <c r="S194" s="382"/>
      <c r="T194" s="382">
        <f>SUM(K194:P194)</f>
        <v>0</v>
      </c>
      <c r="U194" s="382">
        <f>U195</f>
        <v>0</v>
      </c>
      <c r="V194" s="382">
        <f>V195</f>
        <v>0</v>
      </c>
      <c r="W194" s="382">
        <f>W195</f>
        <v>0</v>
      </c>
      <c r="X194" s="382">
        <f>X195</f>
        <v>0</v>
      </c>
      <c r="Y194" s="382">
        <f>SUM(U194:X194)</f>
        <v>0</v>
      </c>
      <c r="Z194" s="382">
        <f t="shared" si="41"/>
        <v>0</v>
      </c>
      <c r="AA194" s="382">
        <f>AA195</f>
        <v>0</v>
      </c>
      <c r="AB194" s="382">
        <f>AB195</f>
        <v>0</v>
      </c>
      <c r="AC194" s="382">
        <f>AC195</f>
        <v>0</v>
      </c>
      <c r="AD194" s="382">
        <f>AD195</f>
        <v>0</v>
      </c>
      <c r="AE194" s="382">
        <f>SUM(AA194:AD194)</f>
        <v>0</v>
      </c>
      <c r="AF194" s="382">
        <f t="shared" si="47"/>
        <v>0</v>
      </c>
      <c r="AG194" s="382">
        <f>AG195</f>
        <v>0</v>
      </c>
      <c r="AH194" s="382">
        <f>AH195</f>
        <v>0</v>
      </c>
      <c r="AI194" s="382">
        <f>AI195</f>
        <v>0</v>
      </c>
    </row>
    <row r="195" spans="2:35" ht="15" customHeight="1" hidden="1">
      <c r="B195" s="391"/>
      <c r="C195" s="391"/>
      <c r="D195" s="386"/>
      <c r="E195" s="387"/>
      <c r="F195" s="387"/>
      <c r="G195" s="391"/>
      <c r="H195" s="389"/>
      <c r="I195" s="389"/>
      <c r="J195" s="389"/>
      <c r="K195" s="389"/>
      <c r="L195" s="389"/>
      <c r="M195" s="389"/>
      <c r="N195" s="389"/>
      <c r="O195" s="389"/>
      <c r="P195" s="389"/>
      <c r="Q195" s="389"/>
      <c r="R195" s="389"/>
      <c r="S195" s="389"/>
      <c r="T195" s="389"/>
      <c r="U195" s="389"/>
      <c r="V195" s="389"/>
      <c r="W195" s="389"/>
      <c r="X195" s="389"/>
      <c r="Y195" s="389"/>
      <c r="Z195" s="389">
        <f t="shared" si="41"/>
        <v>0</v>
      </c>
      <c r="AA195" s="389"/>
      <c r="AB195" s="389"/>
      <c r="AC195" s="389"/>
      <c r="AD195" s="389"/>
      <c r="AE195" s="389"/>
      <c r="AF195" s="389">
        <f t="shared" si="47"/>
        <v>0</v>
      </c>
      <c r="AG195" s="389"/>
      <c r="AH195" s="389"/>
      <c r="AI195" s="389"/>
    </row>
    <row r="196" spans="2:35" ht="15" customHeight="1" hidden="1">
      <c r="B196" s="391"/>
      <c r="C196" s="391"/>
      <c r="D196" s="386"/>
      <c r="E196" s="387"/>
      <c r="F196" s="387"/>
      <c r="G196" s="391"/>
      <c r="H196" s="389"/>
      <c r="I196" s="389"/>
      <c r="J196" s="389"/>
      <c r="K196" s="389"/>
      <c r="L196" s="389"/>
      <c r="M196" s="389"/>
      <c r="N196" s="389"/>
      <c r="O196" s="389"/>
      <c r="P196" s="389"/>
      <c r="Q196" s="389"/>
      <c r="R196" s="389"/>
      <c r="S196" s="389"/>
      <c r="T196" s="389"/>
      <c r="U196" s="389"/>
      <c r="V196" s="389"/>
      <c r="W196" s="389"/>
      <c r="X196" s="389"/>
      <c r="Y196" s="389"/>
      <c r="Z196" s="389">
        <f t="shared" si="41"/>
        <v>0</v>
      </c>
      <c r="AA196" s="389"/>
      <c r="AB196" s="389"/>
      <c r="AC196" s="389"/>
      <c r="AD196" s="389"/>
      <c r="AE196" s="389"/>
      <c r="AF196" s="389">
        <f t="shared" si="47"/>
        <v>0</v>
      </c>
      <c r="AG196" s="389"/>
      <c r="AH196" s="389"/>
      <c r="AI196" s="389"/>
    </row>
    <row r="197" spans="2:35" ht="15" customHeight="1" hidden="1">
      <c r="B197" s="383"/>
      <c r="C197" s="383">
        <f>'[1]GASTOS MATRIZ'!B193</f>
        <v>960</v>
      </c>
      <c r="D197" s="381"/>
      <c r="E197" s="390"/>
      <c r="F197" s="390"/>
      <c r="G197" s="383" t="str">
        <f>'[1]GASTOS MATRIZ'!F193</f>
        <v>Deudas Pend.de Pago de Ejerc. Anterior</v>
      </c>
      <c r="H197" s="382">
        <f aca="true" t="shared" si="53" ref="H197:M197">SUM(H198:H200)</f>
        <v>0</v>
      </c>
      <c r="I197" s="382">
        <f t="shared" si="53"/>
        <v>0</v>
      </c>
      <c r="J197" s="382">
        <f t="shared" si="53"/>
        <v>0</v>
      </c>
      <c r="K197" s="382">
        <f t="shared" si="53"/>
        <v>0</v>
      </c>
      <c r="L197" s="382">
        <f t="shared" si="53"/>
        <v>0</v>
      </c>
      <c r="M197" s="382">
        <f t="shared" si="53"/>
        <v>0</v>
      </c>
      <c r="N197" s="382"/>
      <c r="O197" s="382">
        <f>SUM(E197:J197)</f>
        <v>0</v>
      </c>
      <c r="P197" s="382"/>
      <c r="Q197" s="382"/>
      <c r="R197" s="382"/>
      <c r="S197" s="382"/>
      <c r="T197" s="382">
        <f>SUM(K197:P197)</f>
        <v>0</v>
      </c>
      <c r="U197" s="382">
        <f>SUM(U198:U200)</f>
        <v>0</v>
      </c>
      <c r="V197" s="382">
        <f>SUM(V198:V200)</f>
        <v>0</v>
      </c>
      <c r="W197" s="382">
        <f>SUM(W198:W200)</f>
        <v>0</v>
      </c>
      <c r="X197" s="382">
        <f>SUM(X198:X200)</f>
        <v>0</v>
      </c>
      <c r="Y197" s="382">
        <f>SUM(U197:X197)</f>
        <v>0</v>
      </c>
      <c r="Z197" s="382">
        <f t="shared" si="41"/>
        <v>0</v>
      </c>
      <c r="AA197" s="382">
        <f>SUM(AA198:AA200)</f>
        <v>0</v>
      </c>
      <c r="AB197" s="382">
        <f>SUM(AB198:AB200)</f>
        <v>0</v>
      </c>
      <c r="AC197" s="382">
        <f>SUM(AC198:AC200)</f>
        <v>0</v>
      </c>
      <c r="AD197" s="382">
        <f>SUM(AD198:AD200)</f>
        <v>0</v>
      </c>
      <c r="AE197" s="382">
        <f>SUM(AA197:AD197)</f>
        <v>0</v>
      </c>
      <c r="AF197" s="382">
        <f t="shared" si="47"/>
        <v>0</v>
      </c>
      <c r="AG197" s="382">
        <f>SUM(AG198:AG200)</f>
        <v>0</v>
      </c>
      <c r="AH197" s="382">
        <f>SUM(AH198:AH200)</f>
        <v>0</v>
      </c>
      <c r="AI197" s="382">
        <f>SUM(AI198:AI200)</f>
        <v>0</v>
      </c>
    </row>
    <row r="198" spans="2:35" ht="30" customHeight="1" hidden="1">
      <c r="B198" s="391"/>
      <c r="C198" s="391"/>
      <c r="D198" s="386">
        <f>'[1]GASTOS MATRIZ'!C194</f>
        <v>960</v>
      </c>
      <c r="E198" s="387" t="str">
        <f>'[1]GASTOS MATRIZ'!D194</f>
        <v>30</v>
      </c>
      <c r="F198" s="387" t="str">
        <f>'[1]GASTOS MATRIZ'!E194</f>
        <v>011</v>
      </c>
      <c r="G198" s="404" t="str">
        <f>'[1]GASTOS MATRIZ'!F194</f>
        <v>Deudas Pendientes de Pagos de Ejercicios Anteriores</v>
      </c>
      <c r="H198" s="393">
        <f>'[1]GASTOS MATRIZ'!G194</f>
        <v>0</v>
      </c>
      <c r="I198" s="393">
        <f>'[1]GASTOS MATRIZ'!H194</f>
        <v>0</v>
      </c>
      <c r="J198" s="393">
        <f>H198+I198</f>
        <v>0</v>
      </c>
      <c r="K198" s="389">
        <f>'[1]RESU X MES'!H184</f>
        <v>0</v>
      </c>
      <c r="L198" s="389">
        <f>'[1]RESU X MES'!H442</f>
        <v>0</v>
      </c>
      <c r="M198" s="389">
        <f>'[1]RESU X MES'!H701</f>
        <v>0</v>
      </c>
      <c r="N198" s="389"/>
      <c r="O198" s="389">
        <f>SUM(E198:J198)</f>
        <v>0</v>
      </c>
      <c r="P198" s="389"/>
      <c r="Q198" s="389"/>
      <c r="R198" s="389"/>
      <c r="S198" s="389"/>
      <c r="T198" s="389">
        <f>SUM(K198:P198)</f>
        <v>0</v>
      </c>
      <c r="U198" s="389">
        <f>'[1]RESU X MES'!H1225</f>
        <v>0</v>
      </c>
      <c r="V198" s="389">
        <f>'[1]RESU X MES'!H1487</f>
        <v>0</v>
      </c>
      <c r="W198" s="389">
        <f>'[1]RESU X MES'!H1750</f>
        <v>0</v>
      </c>
      <c r="X198" s="389">
        <f>'[1]RESU X MES'!H2011</f>
        <v>0</v>
      </c>
      <c r="Y198" s="389">
        <f>SUM(U198:X198)</f>
        <v>0</v>
      </c>
      <c r="Z198" s="389">
        <f t="shared" si="41"/>
        <v>0</v>
      </c>
      <c r="AA198" s="389">
        <f>'[1]RESU X MES'!H2270</f>
        <v>0</v>
      </c>
      <c r="AB198" s="389">
        <f>'[1]RESU X MES'!H2532</f>
        <v>0</v>
      </c>
      <c r="AC198" s="389">
        <f>'[1]RESU X MES'!H2794</f>
        <v>0</v>
      </c>
      <c r="AD198" s="389">
        <f>'[1]RESU X MES'!H3058</f>
        <v>0</v>
      </c>
      <c r="AE198" s="389">
        <f>SUM(AA198:AD198)</f>
        <v>0</v>
      </c>
      <c r="AF198" s="389">
        <f t="shared" si="47"/>
        <v>0</v>
      </c>
      <c r="AG198" s="389">
        <f>J198-AF198</f>
        <v>0</v>
      </c>
      <c r="AH198" s="389">
        <f>AF198-AI198</f>
        <v>0</v>
      </c>
      <c r="AI198" s="389">
        <f>'[1]RESU X MES'!N184+'[1]RESU X MES'!N442+'[1]RESU X MES'!N701+'[1]RESU X MES'!N964+'[1]RESU X MES'!N1225+'[1]RESU X MES'!N1487+'[1]RESU X MES'!N1750+'[1]RESU X MES'!N2011+'[1]RESU X MES'!N2270+'[1]RESU X MES'!N2532+'[1]RESU X MES'!N2794+'[1]RESU X MES'!N3058</f>
        <v>0</v>
      </c>
    </row>
    <row r="199" spans="2:35" ht="15" customHeight="1" hidden="1">
      <c r="B199" s="391"/>
      <c r="C199" s="391"/>
      <c r="D199" s="386"/>
      <c r="E199" s="387"/>
      <c r="F199" s="387"/>
      <c r="G199" s="404"/>
      <c r="H199" s="393"/>
      <c r="I199" s="393"/>
      <c r="J199" s="393"/>
      <c r="K199" s="389"/>
      <c r="L199" s="389"/>
      <c r="M199" s="389"/>
      <c r="N199" s="389"/>
      <c r="O199" s="389"/>
      <c r="P199" s="389"/>
      <c r="Q199" s="389"/>
      <c r="R199" s="389"/>
      <c r="S199" s="389"/>
      <c r="T199" s="389"/>
      <c r="U199" s="389"/>
      <c r="V199" s="389"/>
      <c r="W199" s="389"/>
      <c r="X199" s="389"/>
      <c r="Y199" s="389"/>
      <c r="Z199" s="389">
        <f t="shared" si="41"/>
        <v>0</v>
      </c>
      <c r="AA199" s="389"/>
      <c r="AB199" s="389"/>
      <c r="AC199" s="389"/>
      <c r="AD199" s="389"/>
      <c r="AE199" s="389"/>
      <c r="AF199" s="389">
        <f t="shared" si="47"/>
        <v>0</v>
      </c>
      <c r="AG199" s="389"/>
      <c r="AH199" s="389"/>
      <c r="AI199" s="389"/>
    </row>
    <row r="200" spans="2:35" ht="15" customHeight="1" hidden="1">
      <c r="B200" s="391"/>
      <c r="C200" s="391"/>
      <c r="D200" s="386"/>
      <c r="E200" s="387"/>
      <c r="F200" s="387"/>
      <c r="G200" s="391"/>
      <c r="H200" s="389"/>
      <c r="I200" s="389"/>
      <c r="J200" s="389"/>
      <c r="K200" s="389"/>
      <c r="L200" s="389"/>
      <c r="M200" s="389"/>
      <c r="N200" s="389"/>
      <c r="O200" s="389"/>
      <c r="P200" s="389"/>
      <c r="Q200" s="389"/>
      <c r="R200" s="389"/>
      <c r="S200" s="389"/>
      <c r="T200" s="389"/>
      <c r="U200" s="389"/>
      <c r="V200" s="389"/>
      <c r="W200" s="389"/>
      <c r="X200" s="389"/>
      <c r="Y200" s="389"/>
      <c r="Z200" s="389">
        <f t="shared" si="41"/>
        <v>0</v>
      </c>
      <c r="AA200" s="389"/>
      <c r="AB200" s="389"/>
      <c r="AC200" s="389"/>
      <c r="AD200" s="389"/>
      <c r="AE200" s="389"/>
      <c r="AF200" s="389">
        <f t="shared" si="47"/>
        <v>0</v>
      </c>
      <c r="AG200" s="389"/>
      <c r="AH200" s="389"/>
      <c r="AI200" s="389"/>
    </row>
    <row r="201" spans="2:35" ht="15" customHeight="1" hidden="1">
      <c r="B201" s="383"/>
      <c r="C201" s="383">
        <f>'[1]GASTOS MATRIZ'!B197</f>
        <v>990</v>
      </c>
      <c r="D201" s="381"/>
      <c r="E201" s="390"/>
      <c r="F201" s="390"/>
      <c r="G201" s="383" t="str">
        <f>'[1]GASTOS MATRIZ'!F197</f>
        <v>Gastos Imprevistos</v>
      </c>
      <c r="H201" s="382">
        <f aca="true" t="shared" si="54" ref="H201:M201">H202</f>
        <v>0</v>
      </c>
      <c r="I201" s="382">
        <f t="shared" si="54"/>
        <v>0</v>
      </c>
      <c r="J201" s="382">
        <f t="shared" si="54"/>
        <v>0</v>
      </c>
      <c r="K201" s="382">
        <f t="shared" si="54"/>
        <v>0</v>
      </c>
      <c r="L201" s="382">
        <f t="shared" si="54"/>
        <v>0</v>
      </c>
      <c r="M201" s="382">
        <f t="shared" si="54"/>
        <v>0</v>
      </c>
      <c r="N201" s="382"/>
      <c r="O201" s="382">
        <f>SUM(E201:J201)</f>
        <v>0</v>
      </c>
      <c r="P201" s="382"/>
      <c r="Q201" s="382"/>
      <c r="R201" s="382"/>
      <c r="S201" s="382"/>
      <c r="T201" s="382">
        <f>SUM(K201:P201)</f>
        <v>0</v>
      </c>
      <c r="U201" s="382">
        <f>U202</f>
        <v>0</v>
      </c>
      <c r="V201" s="382">
        <f>V202</f>
        <v>0</v>
      </c>
      <c r="W201" s="382">
        <f>W202</f>
        <v>0</v>
      </c>
      <c r="X201" s="382">
        <f>X202</f>
        <v>0</v>
      </c>
      <c r="Y201" s="382">
        <f>SUM(U201:X201)</f>
        <v>0</v>
      </c>
      <c r="Z201" s="382">
        <f t="shared" si="41"/>
        <v>0</v>
      </c>
      <c r="AA201" s="382">
        <f>AA202</f>
        <v>0</v>
      </c>
      <c r="AB201" s="382">
        <f>AB202</f>
        <v>0</v>
      </c>
      <c r="AC201" s="382">
        <f>AC202</f>
        <v>0</v>
      </c>
      <c r="AD201" s="382">
        <f>AD202</f>
        <v>0</v>
      </c>
      <c r="AE201" s="382">
        <f>SUM(AA201:AD201)</f>
        <v>0</v>
      </c>
      <c r="AF201" s="382">
        <f t="shared" si="47"/>
        <v>0</v>
      </c>
      <c r="AG201" s="382">
        <f>AG202</f>
        <v>0</v>
      </c>
      <c r="AH201" s="382">
        <f>AH202</f>
        <v>0</v>
      </c>
      <c r="AI201" s="382">
        <f>AI202</f>
        <v>0</v>
      </c>
    </row>
    <row r="202" spans="2:35" ht="15" customHeight="1" hidden="1">
      <c r="B202" s="391"/>
      <c r="C202" s="391"/>
      <c r="D202" s="386"/>
      <c r="E202" s="387"/>
      <c r="F202" s="387"/>
      <c r="G202" s="391"/>
      <c r="H202" s="389"/>
      <c r="I202" s="389"/>
      <c r="J202" s="389"/>
      <c r="K202" s="389"/>
      <c r="L202" s="389"/>
      <c r="M202" s="389"/>
      <c r="N202" s="389"/>
      <c r="O202" s="389"/>
      <c r="P202" s="389"/>
      <c r="Q202" s="389"/>
      <c r="R202" s="389"/>
      <c r="S202" s="389"/>
      <c r="T202" s="389"/>
      <c r="U202" s="389"/>
      <c r="V202" s="389"/>
      <c r="W202" s="389"/>
      <c r="X202" s="389"/>
      <c r="Y202" s="389"/>
      <c r="Z202" s="389">
        <f t="shared" si="41"/>
        <v>0</v>
      </c>
      <c r="AA202" s="389"/>
      <c r="AB202" s="389"/>
      <c r="AC202" s="389"/>
      <c r="AD202" s="389"/>
      <c r="AE202" s="389"/>
      <c r="AF202" s="389">
        <f t="shared" si="47"/>
        <v>0</v>
      </c>
      <c r="AG202" s="389"/>
      <c r="AH202" s="389"/>
      <c r="AI202" s="389"/>
    </row>
    <row r="203" spans="2:35" ht="14.25">
      <c r="B203" s="391"/>
      <c r="C203" s="391"/>
      <c r="D203" s="386"/>
      <c r="E203" s="387"/>
      <c r="F203" s="387"/>
      <c r="G203" s="391"/>
      <c r="H203" s="389"/>
      <c r="I203" s="389"/>
      <c r="J203" s="389"/>
      <c r="K203" s="389"/>
      <c r="L203" s="389"/>
      <c r="M203" s="389"/>
      <c r="N203" s="389"/>
      <c r="O203" s="389"/>
      <c r="P203" s="389"/>
      <c r="Q203" s="389"/>
      <c r="R203" s="389"/>
      <c r="S203" s="389"/>
      <c r="T203" s="389"/>
      <c r="U203" s="389"/>
      <c r="V203" s="389"/>
      <c r="W203" s="389"/>
      <c r="X203" s="389"/>
      <c r="Y203" s="389"/>
      <c r="Z203" s="389">
        <f t="shared" si="41"/>
        <v>0</v>
      </c>
      <c r="AA203" s="389"/>
      <c r="AB203" s="389"/>
      <c r="AC203" s="389"/>
      <c r="AD203" s="389"/>
      <c r="AE203" s="389"/>
      <c r="AF203" s="389">
        <f t="shared" si="47"/>
        <v>0</v>
      </c>
      <c r="AG203" s="389"/>
      <c r="AH203" s="389"/>
      <c r="AI203" s="389"/>
    </row>
    <row r="204" spans="2:35" ht="14.25">
      <c r="B204" s="381"/>
      <c r="C204" s="381"/>
      <c r="D204" s="381"/>
      <c r="E204" s="381"/>
      <c r="F204" s="381"/>
      <c r="G204" s="383" t="str">
        <f>'[1]GASTOS MATRIZ'!F200</f>
        <v>GASTOS DE CAPITAL</v>
      </c>
      <c r="H204" s="382">
        <f>H205+H214+H248+H253+H264</f>
        <v>1143665320</v>
      </c>
      <c r="I204" s="382">
        <f>I205+I214+I248+I253+I264</f>
        <v>-128285121</v>
      </c>
      <c r="J204" s="382">
        <f>J205+J214+J248+J253+J264</f>
        <v>1015380199</v>
      </c>
      <c r="K204" s="382">
        <f aca="true" t="shared" si="55" ref="K204:AI204">K205+K214+K248+K253+K264</f>
        <v>0</v>
      </c>
      <c r="L204" s="382">
        <f t="shared" si="55"/>
        <v>0</v>
      </c>
      <c r="M204" s="382">
        <f t="shared" si="55"/>
        <v>0</v>
      </c>
      <c r="N204" s="382">
        <f t="shared" si="55"/>
        <v>137000000</v>
      </c>
      <c r="O204" s="382">
        <f t="shared" si="55"/>
        <v>137000000</v>
      </c>
      <c r="P204" s="382">
        <f t="shared" si="55"/>
        <v>0</v>
      </c>
      <c r="Q204" s="382">
        <f t="shared" si="55"/>
        <v>0</v>
      </c>
      <c r="R204" s="382">
        <f t="shared" si="55"/>
        <v>0</v>
      </c>
      <c r="S204" s="382">
        <f t="shared" si="55"/>
        <v>0</v>
      </c>
      <c r="T204" s="382">
        <f t="shared" si="55"/>
        <v>274000000</v>
      </c>
      <c r="U204" s="382">
        <f t="shared" si="55"/>
        <v>0</v>
      </c>
      <c r="V204" s="382">
        <f t="shared" si="55"/>
        <v>0</v>
      </c>
      <c r="W204" s="382">
        <f t="shared" si="55"/>
        <v>0</v>
      </c>
      <c r="X204" s="382">
        <f t="shared" si="55"/>
        <v>0</v>
      </c>
      <c r="Y204" s="382">
        <f t="shared" si="55"/>
        <v>0</v>
      </c>
      <c r="Z204" s="382">
        <f t="shared" si="55"/>
        <v>274000000</v>
      </c>
      <c r="AA204" s="382">
        <f t="shared" si="55"/>
        <v>0</v>
      </c>
      <c r="AB204" s="382">
        <f t="shared" si="55"/>
        <v>0</v>
      </c>
      <c r="AC204" s="382">
        <f t="shared" si="55"/>
        <v>0</v>
      </c>
      <c r="AD204" s="382">
        <f t="shared" si="55"/>
        <v>0</v>
      </c>
      <c r="AE204" s="382">
        <f t="shared" si="55"/>
        <v>0</v>
      </c>
      <c r="AF204" s="382">
        <f t="shared" si="47"/>
        <v>137000000</v>
      </c>
      <c r="AG204" s="382">
        <f t="shared" si="55"/>
        <v>878380199</v>
      </c>
      <c r="AH204" s="382">
        <f t="shared" si="55"/>
        <v>137000000</v>
      </c>
      <c r="AI204" s="382">
        <f t="shared" si="55"/>
        <v>0</v>
      </c>
    </row>
    <row r="205" spans="2:35" ht="15" customHeight="1" hidden="1">
      <c r="B205" s="381">
        <f>'[1]GASTOS MATRIZ'!A201</f>
        <v>400</v>
      </c>
      <c r="C205" s="381"/>
      <c r="D205" s="381"/>
      <c r="E205" s="390"/>
      <c r="F205" s="390"/>
      <c r="G205" s="383" t="str">
        <f>'[1]GASTOS MATRIZ'!F201</f>
        <v>BIENES DE CAMBIO</v>
      </c>
      <c r="H205" s="382">
        <f aca="true" t="shared" si="56" ref="H205:AI205">H206+H210</f>
        <v>0</v>
      </c>
      <c r="I205" s="382">
        <f t="shared" si="56"/>
        <v>0</v>
      </c>
      <c r="J205" s="382">
        <f t="shared" si="56"/>
        <v>0</v>
      </c>
      <c r="K205" s="382">
        <f t="shared" si="56"/>
        <v>0</v>
      </c>
      <c r="L205" s="382">
        <f t="shared" si="56"/>
        <v>0</v>
      </c>
      <c r="M205" s="382">
        <f t="shared" si="56"/>
        <v>0</v>
      </c>
      <c r="N205" s="382">
        <f t="shared" si="56"/>
        <v>0</v>
      </c>
      <c r="O205" s="382">
        <f t="shared" si="56"/>
        <v>0</v>
      </c>
      <c r="P205" s="382">
        <f t="shared" si="56"/>
        <v>0</v>
      </c>
      <c r="Q205" s="382">
        <f t="shared" si="56"/>
        <v>0</v>
      </c>
      <c r="R205" s="382">
        <f t="shared" si="56"/>
        <v>0</v>
      </c>
      <c r="S205" s="382">
        <f t="shared" si="56"/>
        <v>0</v>
      </c>
      <c r="T205" s="382">
        <f t="shared" si="56"/>
        <v>0</v>
      </c>
      <c r="U205" s="382">
        <f t="shared" si="56"/>
        <v>0</v>
      </c>
      <c r="V205" s="382">
        <f t="shared" si="56"/>
        <v>0</v>
      </c>
      <c r="W205" s="382">
        <f t="shared" si="56"/>
        <v>0</v>
      </c>
      <c r="X205" s="382">
        <f t="shared" si="56"/>
        <v>0</v>
      </c>
      <c r="Y205" s="382">
        <f t="shared" si="56"/>
        <v>0</v>
      </c>
      <c r="Z205" s="382">
        <f t="shared" si="56"/>
        <v>0</v>
      </c>
      <c r="AA205" s="382">
        <f t="shared" si="56"/>
        <v>0</v>
      </c>
      <c r="AB205" s="382">
        <f t="shared" si="56"/>
        <v>0</v>
      </c>
      <c r="AC205" s="382">
        <f t="shared" si="56"/>
        <v>0</v>
      </c>
      <c r="AD205" s="382">
        <f t="shared" si="56"/>
        <v>0</v>
      </c>
      <c r="AE205" s="382">
        <f t="shared" si="56"/>
        <v>0</v>
      </c>
      <c r="AF205" s="382">
        <f t="shared" si="47"/>
        <v>0</v>
      </c>
      <c r="AG205" s="382">
        <f t="shared" si="56"/>
        <v>0</v>
      </c>
      <c r="AH205" s="382">
        <f t="shared" si="56"/>
        <v>0</v>
      </c>
      <c r="AI205" s="382">
        <f t="shared" si="56"/>
        <v>0</v>
      </c>
    </row>
    <row r="206" spans="2:35" ht="15" customHeight="1" hidden="1">
      <c r="B206" s="383"/>
      <c r="C206" s="383">
        <f>'[1]GASTOS MATRIZ'!B202</f>
        <v>410</v>
      </c>
      <c r="D206" s="381"/>
      <c r="E206" s="390"/>
      <c r="F206" s="390"/>
      <c r="G206" s="383" t="str">
        <f>'[1]GASTOS MATRIZ'!F202</f>
        <v>Bienes e Insumos del Sector Agropecuario y Forestal</v>
      </c>
      <c r="H206" s="382">
        <f aca="true" t="shared" si="57" ref="H206:AI206">SUM(H207:H209)</f>
        <v>0</v>
      </c>
      <c r="I206" s="382">
        <f t="shared" si="57"/>
        <v>0</v>
      </c>
      <c r="J206" s="382">
        <f t="shared" si="57"/>
        <v>0</v>
      </c>
      <c r="K206" s="382">
        <f t="shared" si="57"/>
        <v>0</v>
      </c>
      <c r="L206" s="382">
        <f t="shared" si="57"/>
        <v>0</v>
      </c>
      <c r="M206" s="382">
        <f t="shared" si="57"/>
        <v>0</v>
      </c>
      <c r="N206" s="382">
        <f t="shared" si="57"/>
        <v>0</v>
      </c>
      <c r="O206" s="382">
        <f t="shared" si="57"/>
        <v>0</v>
      </c>
      <c r="P206" s="382">
        <f t="shared" si="57"/>
        <v>0</v>
      </c>
      <c r="Q206" s="382">
        <f t="shared" si="57"/>
        <v>0</v>
      </c>
      <c r="R206" s="382">
        <f t="shared" si="57"/>
        <v>0</v>
      </c>
      <c r="S206" s="382">
        <f t="shared" si="57"/>
        <v>0</v>
      </c>
      <c r="T206" s="382">
        <f t="shared" si="57"/>
        <v>0</v>
      </c>
      <c r="U206" s="382">
        <f t="shared" si="57"/>
        <v>0</v>
      </c>
      <c r="V206" s="382">
        <f t="shared" si="57"/>
        <v>0</v>
      </c>
      <c r="W206" s="382">
        <f t="shared" si="57"/>
        <v>0</v>
      </c>
      <c r="X206" s="382">
        <f t="shared" si="57"/>
        <v>0</v>
      </c>
      <c r="Y206" s="382">
        <f t="shared" si="57"/>
        <v>0</v>
      </c>
      <c r="Z206" s="382">
        <f t="shared" si="57"/>
        <v>0</v>
      </c>
      <c r="AA206" s="382">
        <f t="shared" si="57"/>
        <v>0</v>
      </c>
      <c r="AB206" s="382">
        <f t="shared" si="57"/>
        <v>0</v>
      </c>
      <c r="AC206" s="382">
        <f t="shared" si="57"/>
        <v>0</v>
      </c>
      <c r="AD206" s="382">
        <f t="shared" si="57"/>
        <v>0</v>
      </c>
      <c r="AE206" s="382">
        <f t="shared" si="57"/>
        <v>0</v>
      </c>
      <c r="AF206" s="382">
        <f t="shared" si="47"/>
        <v>0</v>
      </c>
      <c r="AG206" s="382">
        <f t="shared" si="57"/>
        <v>0</v>
      </c>
      <c r="AH206" s="382">
        <f t="shared" si="57"/>
        <v>0</v>
      </c>
      <c r="AI206" s="382">
        <f t="shared" si="57"/>
        <v>0</v>
      </c>
    </row>
    <row r="207" spans="2:35" ht="15" customHeight="1" hidden="1">
      <c r="B207" s="391"/>
      <c r="C207" s="391"/>
      <c r="D207" s="386">
        <f>'[1]GASTOS MATRIZ'!C203</f>
        <v>410</v>
      </c>
      <c r="E207" s="387" t="str">
        <f>'[1]GASTOS MATRIZ'!D203</f>
        <v>30</v>
      </c>
      <c r="F207" s="387" t="str">
        <f>'[1]GASTOS MATRIZ'!E203</f>
        <v>011</v>
      </c>
      <c r="G207" s="391" t="str">
        <f>'[1]GASTOS MATRIZ'!F203</f>
        <v>Bienes e Insumos del Sector Agropecuario y Forestal</v>
      </c>
      <c r="H207" s="389">
        <f>'[1]GASTOS MATRIZ'!G203</f>
        <v>0</v>
      </c>
      <c r="I207" s="389">
        <f>'[1]GASTOS MATRIZ'!H203</f>
        <v>0</v>
      </c>
      <c r="J207" s="389">
        <f>H207+I207</f>
        <v>0</v>
      </c>
      <c r="K207" s="389">
        <f aca="true" t="shared" si="58" ref="K207:AI207">I207+J207</f>
        <v>0</v>
      </c>
      <c r="L207" s="389">
        <f t="shared" si="58"/>
        <v>0</v>
      </c>
      <c r="M207" s="389">
        <f t="shared" si="58"/>
        <v>0</v>
      </c>
      <c r="N207" s="389">
        <f t="shared" si="58"/>
        <v>0</v>
      </c>
      <c r="O207" s="389">
        <f t="shared" si="58"/>
        <v>0</v>
      </c>
      <c r="P207" s="389">
        <f>M207+N207</f>
        <v>0</v>
      </c>
      <c r="Q207" s="389">
        <f>N207+P207</f>
        <v>0</v>
      </c>
      <c r="R207" s="389">
        <f>P207+Q207</f>
        <v>0</v>
      </c>
      <c r="S207" s="389">
        <f>Q207+R207</f>
        <v>0</v>
      </c>
      <c r="T207" s="389">
        <f t="shared" si="58"/>
        <v>0</v>
      </c>
      <c r="U207" s="389">
        <f t="shared" si="58"/>
        <v>0</v>
      </c>
      <c r="V207" s="389">
        <f t="shared" si="58"/>
        <v>0</v>
      </c>
      <c r="W207" s="389">
        <f t="shared" si="58"/>
        <v>0</v>
      </c>
      <c r="X207" s="389">
        <f t="shared" si="58"/>
        <v>0</v>
      </c>
      <c r="Y207" s="389">
        <f t="shared" si="58"/>
        <v>0</v>
      </c>
      <c r="Z207" s="389">
        <f t="shared" si="58"/>
        <v>0</v>
      </c>
      <c r="AA207" s="389">
        <f t="shared" si="58"/>
        <v>0</v>
      </c>
      <c r="AB207" s="389">
        <f t="shared" si="58"/>
        <v>0</v>
      </c>
      <c r="AC207" s="389">
        <f t="shared" si="58"/>
        <v>0</v>
      </c>
      <c r="AD207" s="389">
        <f t="shared" si="58"/>
        <v>0</v>
      </c>
      <c r="AE207" s="389">
        <f t="shared" si="58"/>
        <v>0</v>
      </c>
      <c r="AF207" s="389">
        <f t="shared" si="47"/>
        <v>0</v>
      </c>
      <c r="AG207" s="389">
        <f t="shared" si="58"/>
        <v>0</v>
      </c>
      <c r="AH207" s="389">
        <f t="shared" si="58"/>
        <v>0</v>
      </c>
      <c r="AI207" s="389">
        <f t="shared" si="58"/>
        <v>0</v>
      </c>
    </row>
    <row r="208" spans="2:35" ht="15" customHeight="1" hidden="1">
      <c r="B208" s="391"/>
      <c r="C208" s="391"/>
      <c r="D208" s="386"/>
      <c r="E208" s="387"/>
      <c r="F208" s="387"/>
      <c r="G208" s="391"/>
      <c r="H208" s="389"/>
      <c r="I208" s="389"/>
      <c r="J208" s="389"/>
      <c r="K208" s="389"/>
      <c r="L208" s="389"/>
      <c r="M208" s="389"/>
      <c r="N208" s="389"/>
      <c r="O208" s="389"/>
      <c r="P208" s="389"/>
      <c r="Q208" s="389"/>
      <c r="R208" s="389"/>
      <c r="S208" s="389"/>
      <c r="T208" s="389"/>
      <c r="U208" s="389"/>
      <c r="V208" s="389"/>
      <c r="W208" s="389"/>
      <c r="X208" s="389"/>
      <c r="Y208" s="389"/>
      <c r="Z208" s="389"/>
      <c r="AA208" s="389"/>
      <c r="AB208" s="389"/>
      <c r="AC208" s="389"/>
      <c r="AD208" s="389"/>
      <c r="AE208" s="389"/>
      <c r="AF208" s="389">
        <f t="shared" si="47"/>
        <v>0</v>
      </c>
      <c r="AG208" s="389"/>
      <c r="AH208" s="389"/>
      <c r="AI208" s="389"/>
    </row>
    <row r="209" spans="2:35" ht="15" customHeight="1" hidden="1">
      <c r="B209" s="381"/>
      <c r="C209" s="381"/>
      <c r="D209" s="381"/>
      <c r="E209" s="381"/>
      <c r="F209" s="381"/>
      <c r="G209" s="383"/>
      <c r="H209" s="382"/>
      <c r="I209" s="382"/>
      <c r="J209" s="382"/>
      <c r="K209" s="382"/>
      <c r="L209" s="382"/>
      <c r="M209" s="382"/>
      <c r="N209" s="382"/>
      <c r="O209" s="382"/>
      <c r="P209" s="382"/>
      <c r="Q209" s="382"/>
      <c r="R209" s="382"/>
      <c r="S209" s="382"/>
      <c r="T209" s="382"/>
      <c r="U209" s="382"/>
      <c r="V209" s="382"/>
      <c r="W209" s="382"/>
      <c r="X209" s="382"/>
      <c r="Y209" s="382"/>
      <c r="Z209" s="382"/>
      <c r="AA209" s="382"/>
      <c r="AB209" s="382"/>
      <c r="AC209" s="382"/>
      <c r="AD209" s="382"/>
      <c r="AE209" s="382"/>
      <c r="AF209" s="382">
        <f t="shared" si="47"/>
        <v>0</v>
      </c>
      <c r="AG209" s="382"/>
      <c r="AH209" s="382"/>
      <c r="AI209" s="382"/>
    </row>
    <row r="210" spans="2:35" ht="15" customHeight="1" hidden="1">
      <c r="B210" s="383"/>
      <c r="C210" s="383">
        <f>'[1]GASTOS MATRIZ'!B206</f>
        <v>420</v>
      </c>
      <c r="D210" s="381"/>
      <c r="E210" s="390"/>
      <c r="F210" s="390"/>
      <c r="G210" s="383" t="str">
        <f>'[1]GASTOS MATRIZ'!F206</f>
        <v>Minerales</v>
      </c>
      <c r="H210" s="382">
        <f aca="true" t="shared" si="59" ref="H210:AI210">SUM(H211:H213)</f>
        <v>0</v>
      </c>
      <c r="I210" s="382">
        <f t="shared" si="59"/>
        <v>0</v>
      </c>
      <c r="J210" s="382">
        <f t="shared" si="59"/>
        <v>0</v>
      </c>
      <c r="K210" s="382">
        <f t="shared" si="59"/>
        <v>0</v>
      </c>
      <c r="L210" s="382">
        <f t="shared" si="59"/>
        <v>0</v>
      </c>
      <c r="M210" s="382">
        <f t="shared" si="59"/>
        <v>0</v>
      </c>
      <c r="N210" s="382">
        <f t="shared" si="59"/>
        <v>0</v>
      </c>
      <c r="O210" s="382">
        <f t="shared" si="59"/>
        <v>0</v>
      </c>
      <c r="P210" s="382">
        <f t="shared" si="59"/>
        <v>0</v>
      </c>
      <c r="Q210" s="382">
        <f t="shared" si="59"/>
        <v>0</v>
      </c>
      <c r="R210" s="382">
        <f t="shared" si="59"/>
        <v>0</v>
      </c>
      <c r="S210" s="382">
        <f t="shared" si="59"/>
        <v>0</v>
      </c>
      <c r="T210" s="382">
        <f t="shared" si="59"/>
        <v>0</v>
      </c>
      <c r="U210" s="382">
        <f t="shared" si="59"/>
        <v>0</v>
      </c>
      <c r="V210" s="382">
        <f t="shared" si="59"/>
        <v>0</v>
      </c>
      <c r="W210" s="382">
        <f t="shared" si="59"/>
        <v>0</v>
      </c>
      <c r="X210" s="382">
        <f t="shared" si="59"/>
        <v>0</v>
      </c>
      <c r="Y210" s="382">
        <f t="shared" si="59"/>
        <v>0</v>
      </c>
      <c r="Z210" s="382">
        <f t="shared" si="59"/>
        <v>0</v>
      </c>
      <c r="AA210" s="382">
        <f t="shared" si="59"/>
        <v>0</v>
      </c>
      <c r="AB210" s="382">
        <f t="shared" si="59"/>
        <v>0</v>
      </c>
      <c r="AC210" s="382">
        <f t="shared" si="59"/>
        <v>0</v>
      </c>
      <c r="AD210" s="382">
        <f t="shared" si="59"/>
        <v>0</v>
      </c>
      <c r="AE210" s="382">
        <f t="shared" si="59"/>
        <v>0</v>
      </c>
      <c r="AF210" s="382">
        <f t="shared" si="47"/>
        <v>0</v>
      </c>
      <c r="AG210" s="382">
        <f t="shared" si="59"/>
        <v>0</v>
      </c>
      <c r="AH210" s="382">
        <f t="shared" si="59"/>
        <v>0</v>
      </c>
      <c r="AI210" s="382">
        <f t="shared" si="59"/>
        <v>0</v>
      </c>
    </row>
    <row r="211" spans="2:35" ht="15" customHeight="1" hidden="1">
      <c r="B211" s="391"/>
      <c r="C211" s="391"/>
      <c r="D211" s="386">
        <f>'[1]GASTOS MATRIZ'!C207</f>
        <v>420</v>
      </c>
      <c r="E211" s="387" t="str">
        <f>'[1]GASTOS MATRIZ'!D207</f>
        <v>30</v>
      </c>
      <c r="F211" s="387" t="str">
        <f>'[1]GASTOS MATRIZ'!E207</f>
        <v>011</v>
      </c>
      <c r="G211" s="391" t="str">
        <f>'[1]GASTOS MATRIZ'!F207</f>
        <v>Minerales</v>
      </c>
      <c r="H211" s="389">
        <f>'[1]GASTOS MATRIZ'!G207</f>
        <v>0</v>
      </c>
      <c r="I211" s="389">
        <f>'[1]GASTOS MATRIZ'!H207</f>
        <v>0</v>
      </c>
      <c r="J211" s="389">
        <f>H211+I211</f>
        <v>0</v>
      </c>
      <c r="K211" s="389">
        <f aca="true" t="shared" si="60" ref="K211:AI211">I211+J211</f>
        <v>0</v>
      </c>
      <c r="L211" s="389">
        <f t="shared" si="60"/>
        <v>0</v>
      </c>
      <c r="M211" s="389">
        <f t="shared" si="60"/>
        <v>0</v>
      </c>
      <c r="N211" s="389">
        <f t="shared" si="60"/>
        <v>0</v>
      </c>
      <c r="O211" s="389">
        <f t="shared" si="60"/>
        <v>0</v>
      </c>
      <c r="P211" s="389">
        <f>M211+N211</f>
        <v>0</v>
      </c>
      <c r="Q211" s="389">
        <f>N211+P211</f>
        <v>0</v>
      </c>
      <c r="R211" s="389">
        <f>P211+Q211</f>
        <v>0</v>
      </c>
      <c r="S211" s="389">
        <f>Q211+R211</f>
        <v>0</v>
      </c>
      <c r="T211" s="389">
        <f t="shared" si="60"/>
        <v>0</v>
      </c>
      <c r="U211" s="389">
        <f t="shared" si="60"/>
        <v>0</v>
      </c>
      <c r="V211" s="389">
        <f t="shared" si="60"/>
        <v>0</v>
      </c>
      <c r="W211" s="389">
        <f t="shared" si="60"/>
        <v>0</v>
      </c>
      <c r="X211" s="389">
        <f t="shared" si="60"/>
        <v>0</v>
      </c>
      <c r="Y211" s="389">
        <f t="shared" si="60"/>
        <v>0</v>
      </c>
      <c r="Z211" s="389">
        <f t="shared" si="60"/>
        <v>0</v>
      </c>
      <c r="AA211" s="389">
        <f t="shared" si="60"/>
        <v>0</v>
      </c>
      <c r="AB211" s="389">
        <f t="shared" si="60"/>
        <v>0</v>
      </c>
      <c r="AC211" s="389">
        <f t="shared" si="60"/>
        <v>0</v>
      </c>
      <c r="AD211" s="389">
        <f t="shared" si="60"/>
        <v>0</v>
      </c>
      <c r="AE211" s="389">
        <f t="shared" si="60"/>
        <v>0</v>
      </c>
      <c r="AF211" s="389">
        <f t="shared" si="47"/>
        <v>0</v>
      </c>
      <c r="AG211" s="389">
        <f t="shared" si="60"/>
        <v>0</v>
      </c>
      <c r="AH211" s="389">
        <f t="shared" si="60"/>
        <v>0</v>
      </c>
      <c r="AI211" s="389">
        <f t="shared" si="60"/>
        <v>0</v>
      </c>
    </row>
    <row r="212" spans="2:35" ht="15" customHeight="1" hidden="1">
      <c r="B212" s="391"/>
      <c r="C212" s="391"/>
      <c r="D212" s="386"/>
      <c r="E212" s="387"/>
      <c r="F212" s="387"/>
      <c r="G212" s="391"/>
      <c r="H212" s="389"/>
      <c r="I212" s="389"/>
      <c r="J212" s="389"/>
      <c r="K212" s="389"/>
      <c r="L212" s="389"/>
      <c r="M212" s="389"/>
      <c r="N212" s="389"/>
      <c r="O212" s="389"/>
      <c r="P212" s="389"/>
      <c r="Q212" s="389"/>
      <c r="R212" s="389"/>
      <c r="S212" s="389"/>
      <c r="T212" s="389"/>
      <c r="U212" s="389"/>
      <c r="V212" s="389"/>
      <c r="W212" s="389"/>
      <c r="X212" s="389"/>
      <c r="Y212" s="389"/>
      <c r="Z212" s="389"/>
      <c r="AA212" s="389"/>
      <c r="AB212" s="389"/>
      <c r="AC212" s="389"/>
      <c r="AD212" s="389"/>
      <c r="AE212" s="389"/>
      <c r="AF212" s="389">
        <f t="shared" si="47"/>
        <v>0</v>
      </c>
      <c r="AG212" s="389"/>
      <c r="AH212" s="389"/>
      <c r="AI212" s="389"/>
    </row>
    <row r="213" spans="2:35" ht="15" customHeight="1" hidden="1">
      <c r="B213" s="381"/>
      <c r="C213" s="381"/>
      <c r="D213" s="381"/>
      <c r="E213" s="381"/>
      <c r="F213" s="381"/>
      <c r="G213" s="383"/>
      <c r="H213" s="382"/>
      <c r="I213" s="382"/>
      <c r="J213" s="382"/>
      <c r="K213" s="382"/>
      <c r="L213" s="382"/>
      <c r="M213" s="382"/>
      <c r="N213" s="382"/>
      <c r="O213" s="382"/>
      <c r="P213" s="382"/>
      <c r="Q213" s="382"/>
      <c r="R213" s="382"/>
      <c r="S213" s="382"/>
      <c r="T213" s="382"/>
      <c r="U213" s="382"/>
      <c r="V213" s="382"/>
      <c r="W213" s="382"/>
      <c r="X213" s="382"/>
      <c r="Y213" s="382"/>
      <c r="Z213" s="382"/>
      <c r="AA213" s="382"/>
      <c r="AB213" s="382"/>
      <c r="AC213" s="382"/>
      <c r="AD213" s="382"/>
      <c r="AE213" s="382"/>
      <c r="AF213" s="382">
        <f t="shared" si="47"/>
        <v>0</v>
      </c>
      <c r="AG213" s="382"/>
      <c r="AH213" s="382"/>
      <c r="AI213" s="382"/>
    </row>
    <row r="214" spans="2:35" ht="14.25">
      <c r="B214" s="381">
        <f>'[1]GASTOS MATRIZ'!A210</f>
        <v>500</v>
      </c>
      <c r="C214" s="381"/>
      <c r="D214" s="381"/>
      <c r="E214" s="390"/>
      <c r="F214" s="390"/>
      <c r="G214" s="383" t="str">
        <f>'[1]GASTOS MATRIZ'!F210</f>
        <v>INVERSIÓN FÍSICA</v>
      </c>
      <c r="H214" s="382">
        <f aca="true" t="shared" si="61" ref="H214:AI214">H215+H219+H225+H231+H237+H241+H244</f>
        <v>975665320</v>
      </c>
      <c r="I214" s="382">
        <f t="shared" si="61"/>
        <v>-50000000</v>
      </c>
      <c r="J214" s="382">
        <f t="shared" si="61"/>
        <v>925665320</v>
      </c>
      <c r="K214" s="382">
        <f t="shared" si="61"/>
        <v>0</v>
      </c>
      <c r="L214" s="382">
        <f t="shared" si="61"/>
        <v>0</v>
      </c>
      <c r="M214" s="382">
        <f t="shared" si="61"/>
        <v>0</v>
      </c>
      <c r="N214" s="382">
        <f t="shared" si="61"/>
        <v>137000000</v>
      </c>
      <c r="O214" s="382">
        <f t="shared" si="61"/>
        <v>137000000</v>
      </c>
      <c r="P214" s="382">
        <f t="shared" si="61"/>
        <v>0</v>
      </c>
      <c r="Q214" s="382">
        <f t="shared" si="61"/>
        <v>0</v>
      </c>
      <c r="R214" s="382">
        <f t="shared" si="61"/>
        <v>0</v>
      </c>
      <c r="S214" s="382">
        <f t="shared" si="61"/>
        <v>0</v>
      </c>
      <c r="T214" s="382">
        <f t="shared" si="61"/>
        <v>274000000</v>
      </c>
      <c r="U214" s="382">
        <f t="shared" si="61"/>
        <v>0</v>
      </c>
      <c r="V214" s="382">
        <f t="shared" si="61"/>
        <v>0</v>
      </c>
      <c r="W214" s="382">
        <f t="shared" si="61"/>
        <v>0</v>
      </c>
      <c r="X214" s="382">
        <f t="shared" si="61"/>
        <v>0</v>
      </c>
      <c r="Y214" s="382">
        <f t="shared" si="61"/>
        <v>0</v>
      </c>
      <c r="Z214" s="382">
        <f t="shared" si="61"/>
        <v>274000000</v>
      </c>
      <c r="AA214" s="382">
        <f t="shared" si="61"/>
        <v>0</v>
      </c>
      <c r="AB214" s="382">
        <f t="shared" si="61"/>
        <v>0</v>
      </c>
      <c r="AC214" s="382">
        <f t="shared" si="61"/>
        <v>0</v>
      </c>
      <c r="AD214" s="382">
        <f t="shared" si="61"/>
        <v>0</v>
      </c>
      <c r="AE214" s="382">
        <f t="shared" si="61"/>
        <v>0</v>
      </c>
      <c r="AF214" s="382">
        <f t="shared" si="47"/>
        <v>137000000</v>
      </c>
      <c r="AG214" s="382">
        <f t="shared" si="61"/>
        <v>788665320</v>
      </c>
      <c r="AH214" s="382">
        <f t="shared" si="61"/>
        <v>137000000</v>
      </c>
      <c r="AI214" s="382">
        <f t="shared" si="61"/>
        <v>0</v>
      </c>
    </row>
    <row r="215" spans="2:35" ht="14.25">
      <c r="B215" s="383"/>
      <c r="C215" s="383">
        <f>'[1]GASTOS MATRIZ'!B211</f>
        <v>510</v>
      </c>
      <c r="D215" s="381"/>
      <c r="E215" s="390"/>
      <c r="F215" s="390"/>
      <c r="G215" s="383" t="str">
        <f>'[1]GASTOS MATRIZ'!F211</f>
        <v>Adquisición de Inmuebles</v>
      </c>
      <c r="H215" s="382">
        <f aca="true" t="shared" si="62" ref="H215:O215">SUM(H216:H218)</f>
        <v>0</v>
      </c>
      <c r="I215" s="382">
        <f t="shared" si="62"/>
        <v>0</v>
      </c>
      <c r="J215" s="382">
        <f t="shared" si="62"/>
        <v>0</v>
      </c>
      <c r="K215" s="382">
        <f t="shared" si="62"/>
        <v>0</v>
      </c>
      <c r="L215" s="382">
        <f t="shared" si="62"/>
        <v>0</v>
      </c>
      <c r="M215" s="382">
        <f t="shared" si="62"/>
        <v>0</v>
      </c>
      <c r="N215" s="382">
        <f t="shared" si="62"/>
        <v>0</v>
      </c>
      <c r="O215" s="382">
        <f t="shared" si="62"/>
        <v>0</v>
      </c>
      <c r="P215" s="382">
        <v>0</v>
      </c>
      <c r="Q215" s="382">
        <v>0</v>
      </c>
      <c r="R215" s="382"/>
      <c r="S215" s="382"/>
      <c r="T215" s="382">
        <f>SUM(K215:P215)</f>
        <v>0</v>
      </c>
      <c r="U215" s="382">
        <f>SUM(U216:U218)</f>
        <v>0</v>
      </c>
      <c r="V215" s="382">
        <f>SUM(V216:V218)</f>
        <v>0</v>
      </c>
      <c r="W215" s="382">
        <f>SUM(W216:W218)</f>
        <v>0</v>
      </c>
      <c r="X215" s="382">
        <f>SUM(X216:X218)</f>
        <v>0</v>
      </c>
      <c r="Y215" s="382">
        <f>SUM(U215:X215)</f>
        <v>0</v>
      </c>
      <c r="Z215" s="382">
        <f t="shared" si="41"/>
        <v>0</v>
      </c>
      <c r="AA215" s="382">
        <f>SUM(AA216:AA218)</f>
        <v>0</v>
      </c>
      <c r="AB215" s="382">
        <f>SUM(AB216:AB218)</f>
        <v>0</v>
      </c>
      <c r="AC215" s="382">
        <f>SUM(AC216:AC218)</f>
        <v>0</v>
      </c>
      <c r="AD215" s="382">
        <f>SUM(AD216:AD218)</f>
        <v>0</v>
      </c>
      <c r="AE215" s="382">
        <f>SUM(AA215:AD215)</f>
        <v>0</v>
      </c>
      <c r="AF215" s="382">
        <f t="shared" si="47"/>
        <v>0</v>
      </c>
      <c r="AG215" s="382">
        <f>SUM(AG216:AG218)</f>
        <v>0</v>
      </c>
      <c r="AH215" s="382">
        <f>SUM(AH216:AH218)</f>
        <v>0</v>
      </c>
      <c r="AI215" s="382">
        <f>SUM(AI216:AI218)</f>
        <v>0</v>
      </c>
    </row>
    <row r="216" spans="2:35" ht="14.25">
      <c r="B216" s="391"/>
      <c r="C216" s="391"/>
      <c r="D216" s="386">
        <f>'[1]GASTOS MATRIZ'!C212</f>
        <v>510</v>
      </c>
      <c r="E216" s="387" t="str">
        <f>'[1]GASTOS MATRIZ'!D212</f>
        <v>30</v>
      </c>
      <c r="F216" s="387" t="str">
        <f>'[1]GASTOS MATRIZ'!E212</f>
        <v>011</v>
      </c>
      <c r="G216" s="391" t="str">
        <f>'[1]GASTOS MATRIZ'!F212</f>
        <v>Adquisición de Inmuebles</v>
      </c>
      <c r="H216" s="389">
        <f>'[1]GASTOS MATRIZ'!G212</f>
        <v>0</v>
      </c>
      <c r="I216" s="389">
        <f>'[1]GASTOS MATRIZ'!H212</f>
        <v>0</v>
      </c>
      <c r="J216" s="389">
        <f>H216+I216</f>
        <v>0</v>
      </c>
      <c r="K216" s="389">
        <f>'[1]RESU X MES'!H202</f>
        <v>0</v>
      </c>
      <c r="L216" s="389">
        <f>'[1]RESU X MES'!H460</f>
        <v>0</v>
      </c>
      <c r="M216" s="389">
        <f>'[1]RESU X MES'!H719</f>
        <v>0</v>
      </c>
      <c r="N216" s="389">
        <v>0</v>
      </c>
      <c r="O216" s="389">
        <f>+K216+L216+M216+N216</f>
        <v>0</v>
      </c>
      <c r="P216" s="389">
        <v>0</v>
      </c>
      <c r="Q216" s="389">
        <v>0</v>
      </c>
      <c r="R216" s="389"/>
      <c r="S216" s="389"/>
      <c r="T216" s="389">
        <f>SUM(K216:P216)</f>
        <v>0</v>
      </c>
      <c r="U216" s="389">
        <f>'[1]RESU X MES'!H1243</f>
        <v>0</v>
      </c>
      <c r="V216" s="389">
        <f>'[1]RESU X MES'!H1505</f>
        <v>0</v>
      </c>
      <c r="W216" s="389">
        <f>'[1]RESU X MES'!H1768</f>
        <v>0</v>
      </c>
      <c r="X216" s="389">
        <f>'[1]RESU X MES'!H2029</f>
        <v>0</v>
      </c>
      <c r="Y216" s="389">
        <f>SUM(U216:X216)</f>
        <v>0</v>
      </c>
      <c r="Z216" s="389">
        <f aca="true" t="shared" si="63" ref="Z216:Z269">T216+Y216</f>
        <v>0</v>
      </c>
      <c r="AA216" s="389">
        <f>'[1]RESU X MES'!H2288</f>
        <v>0</v>
      </c>
      <c r="AB216" s="389">
        <f>'[1]RESU X MES'!H2550</f>
        <v>0</v>
      </c>
      <c r="AC216" s="389">
        <f>'[1]RESU X MES'!H2812</f>
        <v>0</v>
      </c>
      <c r="AD216" s="389">
        <f>'[1]RESU X MES'!H3076</f>
        <v>0</v>
      </c>
      <c r="AE216" s="389">
        <f>SUM(AA216:AD216)</f>
        <v>0</v>
      </c>
      <c r="AF216" s="389">
        <f t="shared" si="47"/>
        <v>0</v>
      </c>
      <c r="AG216" s="389">
        <f>J216-AF216</f>
        <v>0</v>
      </c>
      <c r="AH216" s="389">
        <f>AF216-AI216</f>
        <v>0</v>
      </c>
      <c r="AI216" s="389">
        <f>'[1]RESU X MES'!N202+'[1]RESU X MES'!N460+'[1]RESU X MES'!N719+'[1]RESU X MES'!N982+'[1]RESU X MES'!N1243+'[1]RESU X MES'!N1505+'[1]RESU X MES'!N1768+'[1]RESU X MES'!N2029+'[1]RESU X MES'!N2288+'[1]RESU X MES'!N2550+'[1]RESU X MES'!N2812+'[1]RESU X MES'!N3076</f>
        <v>0</v>
      </c>
    </row>
    <row r="217" spans="2:35" ht="15" customHeight="1" hidden="1">
      <c r="B217" s="391"/>
      <c r="C217" s="391"/>
      <c r="D217" s="386"/>
      <c r="E217" s="387"/>
      <c r="F217" s="387"/>
      <c r="G217" s="391"/>
      <c r="H217" s="389"/>
      <c r="I217" s="389"/>
      <c r="J217" s="389"/>
      <c r="K217" s="389"/>
      <c r="L217" s="389"/>
      <c r="M217" s="389"/>
      <c r="N217" s="389"/>
      <c r="O217" s="389"/>
      <c r="P217" s="389"/>
      <c r="Q217" s="389"/>
      <c r="R217" s="389"/>
      <c r="S217" s="389"/>
      <c r="T217" s="389"/>
      <c r="U217" s="389"/>
      <c r="V217" s="389"/>
      <c r="W217" s="389"/>
      <c r="X217" s="389"/>
      <c r="Y217" s="389"/>
      <c r="Z217" s="389">
        <f t="shared" si="63"/>
        <v>0</v>
      </c>
      <c r="AA217" s="389"/>
      <c r="AB217" s="389"/>
      <c r="AC217" s="389"/>
      <c r="AD217" s="389"/>
      <c r="AE217" s="389"/>
      <c r="AF217" s="389">
        <f t="shared" si="47"/>
        <v>0</v>
      </c>
      <c r="AG217" s="389"/>
      <c r="AH217" s="389"/>
      <c r="AI217" s="389"/>
    </row>
    <row r="218" spans="2:35" ht="14.25">
      <c r="B218" s="383"/>
      <c r="C218" s="383"/>
      <c r="D218" s="381"/>
      <c r="E218" s="390"/>
      <c r="F218" s="390"/>
      <c r="G218" s="383"/>
      <c r="H218" s="382"/>
      <c r="I218" s="382"/>
      <c r="J218" s="382"/>
      <c r="K218" s="382"/>
      <c r="L218" s="382"/>
      <c r="M218" s="382"/>
      <c r="N218" s="382"/>
      <c r="O218" s="382"/>
      <c r="P218" s="382"/>
      <c r="Q218" s="382"/>
      <c r="R218" s="382"/>
      <c r="S218" s="382"/>
      <c r="T218" s="382"/>
      <c r="U218" s="382"/>
      <c r="V218" s="382"/>
      <c r="W218" s="382"/>
      <c r="X218" s="382"/>
      <c r="Y218" s="382"/>
      <c r="Z218" s="382">
        <f t="shared" si="63"/>
        <v>0</v>
      </c>
      <c r="AA218" s="382"/>
      <c r="AB218" s="382"/>
      <c r="AC218" s="382"/>
      <c r="AD218" s="382"/>
      <c r="AE218" s="382"/>
      <c r="AF218" s="382">
        <f t="shared" si="47"/>
        <v>0</v>
      </c>
      <c r="AG218" s="382"/>
      <c r="AH218" s="382"/>
      <c r="AI218" s="382"/>
    </row>
    <row r="219" spans="2:35" ht="14.25">
      <c r="B219" s="383"/>
      <c r="C219" s="383">
        <f>'[1]GASTOS MATRIZ'!B215</f>
        <v>520</v>
      </c>
      <c r="D219" s="381"/>
      <c r="E219" s="390"/>
      <c r="F219" s="390"/>
      <c r="G219" s="383" t="str">
        <f>'[1]GASTOS MATRIZ'!F215</f>
        <v>Construcciones</v>
      </c>
      <c r="H219" s="382">
        <f aca="true" t="shared" si="64" ref="H219:AI219">SUM(H220:H224)</f>
        <v>750000000</v>
      </c>
      <c r="I219" s="382">
        <f t="shared" si="64"/>
        <v>-50000000</v>
      </c>
      <c r="J219" s="382">
        <f t="shared" si="64"/>
        <v>700000000</v>
      </c>
      <c r="K219" s="382">
        <f t="shared" si="64"/>
        <v>0</v>
      </c>
      <c r="L219" s="382">
        <f t="shared" si="64"/>
        <v>0</v>
      </c>
      <c r="M219" s="382">
        <f t="shared" si="64"/>
        <v>0</v>
      </c>
      <c r="N219" s="382">
        <f t="shared" si="64"/>
        <v>137000000</v>
      </c>
      <c r="O219" s="382">
        <f t="shared" si="64"/>
        <v>137000000</v>
      </c>
      <c r="P219" s="382">
        <f t="shared" si="64"/>
        <v>0</v>
      </c>
      <c r="Q219" s="382">
        <f t="shared" si="64"/>
        <v>0</v>
      </c>
      <c r="R219" s="382">
        <f t="shared" si="64"/>
        <v>0</v>
      </c>
      <c r="S219" s="382">
        <f t="shared" si="64"/>
        <v>0</v>
      </c>
      <c r="T219" s="382">
        <f t="shared" si="64"/>
        <v>274000000</v>
      </c>
      <c r="U219" s="382">
        <f t="shared" si="64"/>
        <v>0</v>
      </c>
      <c r="V219" s="382">
        <f t="shared" si="64"/>
        <v>0</v>
      </c>
      <c r="W219" s="382">
        <f t="shared" si="64"/>
        <v>0</v>
      </c>
      <c r="X219" s="382">
        <f t="shared" si="64"/>
        <v>0</v>
      </c>
      <c r="Y219" s="382">
        <f t="shared" si="64"/>
        <v>0</v>
      </c>
      <c r="Z219" s="382">
        <f t="shared" si="64"/>
        <v>274000000</v>
      </c>
      <c r="AA219" s="382">
        <f t="shared" si="64"/>
        <v>0</v>
      </c>
      <c r="AB219" s="382">
        <f t="shared" si="64"/>
        <v>0</v>
      </c>
      <c r="AC219" s="382">
        <f t="shared" si="64"/>
        <v>0</v>
      </c>
      <c r="AD219" s="382">
        <f t="shared" si="64"/>
        <v>0</v>
      </c>
      <c r="AE219" s="382">
        <f t="shared" si="64"/>
        <v>0</v>
      </c>
      <c r="AF219" s="382">
        <f t="shared" si="47"/>
        <v>137000000</v>
      </c>
      <c r="AG219" s="382">
        <f t="shared" si="64"/>
        <v>563000000</v>
      </c>
      <c r="AH219" s="382">
        <f t="shared" si="64"/>
        <v>137000000</v>
      </c>
      <c r="AI219" s="382">
        <f t="shared" si="64"/>
        <v>0</v>
      </c>
    </row>
    <row r="220" spans="2:35" ht="14.25">
      <c r="B220" s="391"/>
      <c r="C220" s="391"/>
      <c r="D220" s="386">
        <f>'[1]GASTOS MATRIZ'!C216</f>
        <v>520</v>
      </c>
      <c r="E220" s="387" t="str">
        <f>'[1]GASTOS MATRIZ'!D216</f>
        <v>30</v>
      </c>
      <c r="F220" s="387" t="str">
        <f>'[1]GASTOS MATRIZ'!E216</f>
        <v>011</v>
      </c>
      <c r="G220" s="391" t="str">
        <f>'[1]GASTOS MATRIZ'!F216</f>
        <v>Construcciones</v>
      </c>
      <c r="H220" s="389">
        <f>'[1]GASTOS MATRIZ'!G216</f>
        <v>750000000</v>
      </c>
      <c r="I220" s="389">
        <f>'[1]GASTOS MATRIZ'!H216</f>
        <v>-50000000</v>
      </c>
      <c r="J220" s="389">
        <f>H220+I220</f>
        <v>700000000</v>
      </c>
      <c r="K220" s="389">
        <f>'[1]RESU X MES'!H206</f>
        <v>0</v>
      </c>
      <c r="L220" s="389">
        <f>'[1]RESU X MES'!H464</f>
        <v>0</v>
      </c>
      <c r="M220" s="389">
        <f>'[1]RESU X MES'!H723</f>
        <v>0</v>
      </c>
      <c r="N220" s="389">
        <v>137000000</v>
      </c>
      <c r="O220" s="389">
        <f>+K220+L220+M220+N220</f>
        <v>137000000</v>
      </c>
      <c r="P220" s="389">
        <v>0</v>
      </c>
      <c r="Q220" s="389">
        <v>0</v>
      </c>
      <c r="R220" s="389"/>
      <c r="S220" s="389"/>
      <c r="T220" s="389">
        <f>SUM(K220:P220)</f>
        <v>274000000</v>
      </c>
      <c r="U220" s="389">
        <f>'[1]RESU X MES'!H1247</f>
        <v>0</v>
      </c>
      <c r="V220" s="389">
        <f>'[1]RESU X MES'!H1509</f>
        <v>0</v>
      </c>
      <c r="W220" s="389">
        <f>'[1]RESU X MES'!H1772</f>
        <v>0</v>
      </c>
      <c r="X220" s="389">
        <f>'[1]RESU X MES'!H2033</f>
        <v>0</v>
      </c>
      <c r="Y220" s="389">
        <f>SUM(U220:X220)</f>
        <v>0</v>
      </c>
      <c r="Z220" s="389">
        <f t="shared" si="63"/>
        <v>274000000</v>
      </c>
      <c r="AA220" s="389">
        <f>'[1]RESU X MES'!H2292</f>
        <v>0</v>
      </c>
      <c r="AB220" s="389">
        <f>'[1]RESU X MES'!H2554</f>
        <v>0</v>
      </c>
      <c r="AC220" s="389">
        <f>'[1]RESU X MES'!H2816</f>
        <v>0</v>
      </c>
      <c r="AD220" s="389">
        <f>'[1]RESU X MES'!H3080</f>
        <v>0</v>
      </c>
      <c r="AE220" s="389">
        <f>SUM(AA220:AD220)</f>
        <v>0</v>
      </c>
      <c r="AF220" s="389">
        <f t="shared" si="47"/>
        <v>137000000</v>
      </c>
      <c r="AG220" s="389">
        <f>J220-AF220</f>
        <v>563000000</v>
      </c>
      <c r="AH220" s="389">
        <f>AF220-AI220</f>
        <v>137000000</v>
      </c>
      <c r="AI220" s="389">
        <f>'[1]RESU X MES'!N206+'[1]RESU X MES'!N464+'[1]RESU X MES'!N723+'[1]RESU X MES'!N986+'[1]RESU X MES'!N1247+'[1]RESU X MES'!N1509+'[1]RESU X MES'!N1772+'[1]RESU X MES'!N2033+'[1]RESU X MES'!N2292+'[1]RESU X MES'!N2554+'[1]RESU X MES'!N2816+'[1]RESU X MES'!N3080</f>
        <v>0</v>
      </c>
    </row>
    <row r="221" spans="2:35" ht="15" customHeight="1" hidden="1">
      <c r="B221" s="391"/>
      <c r="C221" s="391"/>
      <c r="D221" s="386"/>
      <c r="E221" s="387"/>
      <c r="F221" s="387"/>
      <c r="G221" s="391"/>
      <c r="H221" s="389"/>
      <c r="I221" s="389"/>
      <c r="J221" s="389"/>
      <c r="K221" s="389"/>
      <c r="L221" s="389"/>
      <c r="M221" s="389"/>
      <c r="N221" s="389"/>
      <c r="O221" s="389"/>
      <c r="P221" s="389"/>
      <c r="Q221" s="389"/>
      <c r="R221" s="389"/>
      <c r="S221" s="389"/>
      <c r="T221" s="389"/>
      <c r="U221" s="389"/>
      <c r="V221" s="389"/>
      <c r="W221" s="389"/>
      <c r="X221" s="389"/>
      <c r="Y221" s="389"/>
      <c r="Z221" s="389">
        <f t="shared" si="63"/>
        <v>0</v>
      </c>
      <c r="AA221" s="389"/>
      <c r="AB221" s="389"/>
      <c r="AC221" s="389"/>
      <c r="AD221" s="389"/>
      <c r="AE221" s="389"/>
      <c r="AF221" s="389">
        <f t="shared" si="47"/>
        <v>0</v>
      </c>
      <c r="AG221" s="389"/>
      <c r="AH221" s="389"/>
      <c r="AI221" s="389"/>
    </row>
    <row r="222" spans="2:35" ht="15" customHeight="1" hidden="1">
      <c r="B222" s="391"/>
      <c r="C222" s="391"/>
      <c r="D222" s="386"/>
      <c r="E222" s="387"/>
      <c r="F222" s="387"/>
      <c r="G222" s="391"/>
      <c r="H222" s="389"/>
      <c r="I222" s="389"/>
      <c r="J222" s="389"/>
      <c r="K222" s="389"/>
      <c r="L222" s="389"/>
      <c r="M222" s="389"/>
      <c r="N222" s="389"/>
      <c r="O222" s="389"/>
      <c r="P222" s="389"/>
      <c r="Q222" s="389"/>
      <c r="R222" s="389"/>
      <c r="S222" s="389"/>
      <c r="T222" s="389"/>
      <c r="U222" s="389"/>
      <c r="V222" s="389"/>
      <c r="W222" s="389"/>
      <c r="X222" s="389"/>
      <c r="Y222" s="389"/>
      <c r="Z222" s="389">
        <f t="shared" si="63"/>
        <v>0</v>
      </c>
      <c r="AA222" s="389"/>
      <c r="AB222" s="389"/>
      <c r="AC222" s="389"/>
      <c r="AD222" s="389"/>
      <c r="AE222" s="389"/>
      <c r="AF222" s="389">
        <f t="shared" si="47"/>
        <v>0</v>
      </c>
      <c r="AG222" s="389"/>
      <c r="AH222" s="389"/>
      <c r="AI222" s="389"/>
    </row>
    <row r="223" spans="2:35" ht="15" customHeight="1" hidden="1">
      <c r="B223" s="391"/>
      <c r="C223" s="391"/>
      <c r="D223" s="386"/>
      <c r="E223" s="387"/>
      <c r="F223" s="387"/>
      <c r="G223" s="391"/>
      <c r="H223" s="389"/>
      <c r="I223" s="389"/>
      <c r="J223" s="389"/>
      <c r="K223" s="389"/>
      <c r="L223" s="389"/>
      <c r="M223" s="389"/>
      <c r="N223" s="389"/>
      <c r="O223" s="389"/>
      <c r="P223" s="389"/>
      <c r="Q223" s="389"/>
      <c r="R223" s="389"/>
      <c r="S223" s="389"/>
      <c r="T223" s="389"/>
      <c r="U223" s="389"/>
      <c r="V223" s="389"/>
      <c r="W223" s="389"/>
      <c r="X223" s="389"/>
      <c r="Y223" s="389"/>
      <c r="Z223" s="389">
        <f t="shared" si="63"/>
        <v>0</v>
      </c>
      <c r="AA223" s="389"/>
      <c r="AB223" s="389"/>
      <c r="AC223" s="389"/>
      <c r="AD223" s="389"/>
      <c r="AE223" s="389"/>
      <c r="AF223" s="389">
        <f t="shared" si="47"/>
        <v>0</v>
      </c>
      <c r="AG223" s="389"/>
      <c r="AH223" s="389"/>
      <c r="AI223" s="389"/>
    </row>
    <row r="224" spans="2:35" ht="14.25">
      <c r="B224" s="391"/>
      <c r="C224" s="391"/>
      <c r="D224" s="386"/>
      <c r="E224" s="387"/>
      <c r="F224" s="387"/>
      <c r="G224" s="391"/>
      <c r="H224" s="389"/>
      <c r="I224" s="389"/>
      <c r="J224" s="389"/>
      <c r="K224" s="389"/>
      <c r="L224" s="389"/>
      <c r="M224" s="389"/>
      <c r="N224" s="389"/>
      <c r="O224" s="389"/>
      <c r="P224" s="389"/>
      <c r="Q224" s="389"/>
      <c r="R224" s="389"/>
      <c r="S224" s="389"/>
      <c r="T224" s="389"/>
      <c r="U224" s="389"/>
      <c r="V224" s="389"/>
      <c r="W224" s="389"/>
      <c r="X224" s="389"/>
      <c r="Y224" s="389"/>
      <c r="Z224" s="389">
        <f t="shared" si="63"/>
        <v>0</v>
      </c>
      <c r="AA224" s="389"/>
      <c r="AB224" s="389"/>
      <c r="AC224" s="389"/>
      <c r="AD224" s="389"/>
      <c r="AE224" s="389"/>
      <c r="AF224" s="389">
        <f t="shared" si="47"/>
        <v>0</v>
      </c>
      <c r="AG224" s="389"/>
      <c r="AH224" s="389"/>
      <c r="AI224" s="389"/>
    </row>
    <row r="225" spans="2:35" ht="28.5">
      <c r="B225" s="381"/>
      <c r="C225" s="381">
        <f>'[1]GASTOS MATRIZ'!B221</f>
        <v>530</v>
      </c>
      <c r="D225" s="381"/>
      <c r="E225" s="390"/>
      <c r="F225" s="390"/>
      <c r="G225" s="403" t="str">
        <f>'[1]GASTOS MATRIZ'!F221</f>
        <v>Adquisición de Maquinarias, Equipos y Herramientas Mayores</v>
      </c>
      <c r="H225" s="395">
        <f>+H226</f>
        <v>150000000</v>
      </c>
      <c r="I225" s="395">
        <f aca="true" t="shared" si="65" ref="I225:AI225">+I226</f>
        <v>0</v>
      </c>
      <c r="J225" s="395">
        <f t="shared" si="65"/>
        <v>150000000</v>
      </c>
      <c r="K225" s="395">
        <f t="shared" si="65"/>
        <v>0</v>
      </c>
      <c r="L225" s="395">
        <f t="shared" si="65"/>
        <v>0</v>
      </c>
      <c r="M225" s="395">
        <f t="shared" si="65"/>
        <v>0</v>
      </c>
      <c r="N225" s="395">
        <f t="shared" si="65"/>
        <v>0</v>
      </c>
      <c r="O225" s="395">
        <f t="shared" si="65"/>
        <v>0</v>
      </c>
      <c r="P225" s="395">
        <f t="shared" si="65"/>
        <v>0</v>
      </c>
      <c r="Q225" s="395">
        <f t="shared" si="65"/>
        <v>0</v>
      </c>
      <c r="R225" s="395">
        <f t="shared" si="65"/>
        <v>0</v>
      </c>
      <c r="S225" s="395">
        <f t="shared" si="65"/>
        <v>0</v>
      </c>
      <c r="T225" s="395">
        <f t="shared" si="65"/>
        <v>0</v>
      </c>
      <c r="U225" s="395">
        <f t="shared" si="65"/>
        <v>0</v>
      </c>
      <c r="V225" s="395">
        <f t="shared" si="65"/>
        <v>0</v>
      </c>
      <c r="W225" s="395">
        <f t="shared" si="65"/>
        <v>0</v>
      </c>
      <c r="X225" s="395">
        <f t="shared" si="65"/>
        <v>0</v>
      </c>
      <c r="Y225" s="395">
        <f t="shared" si="65"/>
        <v>0</v>
      </c>
      <c r="Z225" s="395">
        <f t="shared" si="65"/>
        <v>0</v>
      </c>
      <c r="AA225" s="395">
        <f t="shared" si="65"/>
        <v>0</v>
      </c>
      <c r="AB225" s="395">
        <f t="shared" si="65"/>
        <v>0</v>
      </c>
      <c r="AC225" s="395">
        <f t="shared" si="65"/>
        <v>0</v>
      </c>
      <c r="AD225" s="395">
        <f t="shared" si="65"/>
        <v>0</v>
      </c>
      <c r="AE225" s="395">
        <f t="shared" si="65"/>
        <v>0</v>
      </c>
      <c r="AF225" s="395">
        <f t="shared" si="47"/>
        <v>0</v>
      </c>
      <c r="AG225" s="395">
        <f t="shared" si="65"/>
        <v>150000000</v>
      </c>
      <c r="AH225" s="395">
        <f t="shared" si="65"/>
        <v>0</v>
      </c>
      <c r="AI225" s="395">
        <f t="shared" si="65"/>
        <v>0</v>
      </c>
    </row>
    <row r="226" spans="2:35" ht="14.25">
      <c r="B226" s="391"/>
      <c r="C226" s="391"/>
      <c r="D226" s="386">
        <f>'[1]GASTOS MATRIZ'!C222</f>
        <v>530</v>
      </c>
      <c r="E226" s="387" t="str">
        <f>'[1]GASTOS MATRIZ'!D222</f>
        <v>30</v>
      </c>
      <c r="F226" s="387" t="str">
        <f>'[1]GASTOS MATRIZ'!E222</f>
        <v>011</v>
      </c>
      <c r="G226" s="391" t="str">
        <f>'[1]GASTOS MATRIZ'!F222</f>
        <v>Adquisición de Maq., Equipos y Herramientas Mayores</v>
      </c>
      <c r="H226" s="389">
        <f>'[1]GASTOS MATRIZ'!G222</f>
        <v>150000000</v>
      </c>
      <c r="I226" s="389">
        <f>'[1]GASTOS MATRIZ'!H222</f>
        <v>0</v>
      </c>
      <c r="J226" s="389">
        <f>H226+I226</f>
        <v>150000000</v>
      </c>
      <c r="K226" s="389">
        <f>'[1]RESU X MES'!H212</f>
        <v>0</v>
      </c>
      <c r="L226" s="389">
        <f>'[1]RESU X MES'!H470</f>
        <v>0</v>
      </c>
      <c r="M226" s="389">
        <f>'[1]RESU X MES'!H729</f>
        <v>0</v>
      </c>
      <c r="N226" s="389">
        <v>0</v>
      </c>
      <c r="O226" s="389">
        <f>+K226+L226+M226+N226</f>
        <v>0</v>
      </c>
      <c r="P226" s="389">
        <v>0</v>
      </c>
      <c r="Q226" s="389">
        <v>0</v>
      </c>
      <c r="R226" s="389"/>
      <c r="S226" s="389"/>
      <c r="T226" s="389">
        <f>SUM(K226:P226)</f>
        <v>0</v>
      </c>
      <c r="U226" s="389">
        <f>'[1]RESU X MES'!H1253</f>
        <v>0</v>
      </c>
      <c r="V226" s="389">
        <f>'[1]RESU X MES'!H1515</f>
        <v>0</v>
      </c>
      <c r="W226" s="389">
        <f>'[1]RESU X MES'!H1778</f>
        <v>0</v>
      </c>
      <c r="X226" s="389">
        <f>'[1]RESU X MES'!H2039</f>
        <v>0</v>
      </c>
      <c r="Y226" s="389">
        <f>SUM(U226:X226)</f>
        <v>0</v>
      </c>
      <c r="Z226" s="389">
        <f t="shared" si="63"/>
        <v>0</v>
      </c>
      <c r="AA226" s="389">
        <f>'[1]RESU X MES'!H2298</f>
        <v>0</v>
      </c>
      <c r="AB226" s="389">
        <f>'[1]RESU X MES'!H2560</f>
        <v>0</v>
      </c>
      <c r="AC226" s="389">
        <f>'[1]RESU X MES'!H2822</f>
        <v>0</v>
      </c>
      <c r="AD226" s="389">
        <f>'[1]RESU X MES'!H3086</f>
        <v>0</v>
      </c>
      <c r="AE226" s="389">
        <f>SUM(AA226:AD226)</f>
        <v>0</v>
      </c>
      <c r="AF226" s="389">
        <f t="shared" si="47"/>
        <v>0</v>
      </c>
      <c r="AG226" s="389">
        <f>J226-AF226</f>
        <v>150000000</v>
      </c>
      <c r="AH226" s="389">
        <f>AF226-AI226</f>
        <v>0</v>
      </c>
      <c r="AI226" s="389">
        <f>'[1]RESU X MES'!N212+'[1]RESU X MES'!N470+'[1]RESU X MES'!N729+'[1]RESU X MES'!N992+'[1]RESU X MES'!N1253+'[1]RESU X MES'!N1515+'[1]RESU X MES'!N1778+'[1]RESU X MES'!N2039+'[1]RESU X MES'!N2298+'[1]RESU X MES'!N2560+'[1]RESU X MES'!N2822+'[1]RESU X MES'!N3086</f>
        <v>0</v>
      </c>
    </row>
    <row r="227" spans="2:35" ht="15" customHeight="1" hidden="1">
      <c r="B227" s="391"/>
      <c r="C227" s="391"/>
      <c r="D227" s="386"/>
      <c r="E227" s="387"/>
      <c r="F227" s="387"/>
      <c r="G227" s="391"/>
      <c r="H227" s="389"/>
      <c r="I227" s="389"/>
      <c r="J227" s="389"/>
      <c r="K227" s="389"/>
      <c r="L227" s="389"/>
      <c r="M227" s="389"/>
      <c r="N227" s="389"/>
      <c r="O227" s="389"/>
      <c r="P227" s="389"/>
      <c r="Q227" s="389"/>
      <c r="R227" s="389"/>
      <c r="S227" s="389"/>
      <c r="T227" s="389"/>
      <c r="U227" s="389"/>
      <c r="V227" s="389"/>
      <c r="W227" s="389"/>
      <c r="X227" s="389"/>
      <c r="Y227" s="389"/>
      <c r="Z227" s="389">
        <f t="shared" si="63"/>
        <v>0</v>
      </c>
      <c r="AA227" s="389"/>
      <c r="AB227" s="389"/>
      <c r="AC227" s="389"/>
      <c r="AD227" s="389"/>
      <c r="AE227" s="389"/>
      <c r="AF227" s="389">
        <f t="shared" si="47"/>
        <v>0</v>
      </c>
      <c r="AG227" s="389"/>
      <c r="AH227" s="389"/>
      <c r="AI227" s="389"/>
    </row>
    <row r="228" spans="2:35" ht="15" customHeight="1" hidden="1">
      <c r="B228" s="391"/>
      <c r="C228" s="391"/>
      <c r="D228" s="386"/>
      <c r="E228" s="387"/>
      <c r="F228" s="387"/>
      <c r="G228" s="391"/>
      <c r="H228" s="389"/>
      <c r="I228" s="389"/>
      <c r="J228" s="389"/>
      <c r="K228" s="389"/>
      <c r="L228" s="389"/>
      <c r="M228" s="389"/>
      <c r="N228" s="389"/>
      <c r="O228" s="389"/>
      <c r="P228" s="389"/>
      <c r="Q228" s="389"/>
      <c r="R228" s="389"/>
      <c r="S228" s="389"/>
      <c r="T228" s="389"/>
      <c r="U228" s="389"/>
      <c r="V228" s="389"/>
      <c r="W228" s="389"/>
      <c r="X228" s="389"/>
      <c r="Y228" s="389"/>
      <c r="Z228" s="389">
        <f t="shared" si="63"/>
        <v>0</v>
      </c>
      <c r="AA228" s="389"/>
      <c r="AB228" s="389"/>
      <c r="AC228" s="389"/>
      <c r="AD228" s="389"/>
      <c r="AE228" s="389"/>
      <c r="AF228" s="389">
        <f t="shared" si="47"/>
        <v>0</v>
      </c>
      <c r="AG228" s="389"/>
      <c r="AH228" s="389"/>
      <c r="AI228" s="389"/>
    </row>
    <row r="229" spans="2:35" ht="15" customHeight="1" hidden="1">
      <c r="B229" s="391"/>
      <c r="C229" s="391"/>
      <c r="D229" s="387"/>
      <c r="E229" s="387"/>
      <c r="F229" s="387"/>
      <c r="G229" s="391"/>
      <c r="H229" s="389"/>
      <c r="I229" s="389"/>
      <c r="J229" s="389"/>
      <c r="K229" s="389"/>
      <c r="L229" s="389"/>
      <c r="M229" s="389"/>
      <c r="N229" s="389"/>
      <c r="O229" s="389"/>
      <c r="P229" s="389"/>
      <c r="Q229" s="389"/>
      <c r="R229" s="389"/>
      <c r="S229" s="389"/>
      <c r="T229" s="389"/>
      <c r="U229" s="389"/>
      <c r="V229" s="389"/>
      <c r="W229" s="389"/>
      <c r="X229" s="389"/>
      <c r="Y229" s="389"/>
      <c r="Z229" s="389">
        <f t="shared" si="63"/>
        <v>0</v>
      </c>
      <c r="AA229" s="389"/>
      <c r="AB229" s="389"/>
      <c r="AC229" s="389"/>
      <c r="AD229" s="389"/>
      <c r="AE229" s="389"/>
      <c r="AF229" s="389">
        <f t="shared" si="47"/>
        <v>0</v>
      </c>
      <c r="AG229" s="389"/>
      <c r="AH229" s="389"/>
      <c r="AI229" s="389"/>
    </row>
    <row r="230" spans="2:35" ht="14.25">
      <c r="B230" s="391"/>
      <c r="C230" s="387"/>
      <c r="D230" s="387"/>
      <c r="E230" s="387"/>
      <c r="F230" s="387"/>
      <c r="G230" s="391"/>
      <c r="H230" s="389"/>
      <c r="I230" s="389"/>
      <c r="J230" s="389"/>
      <c r="K230" s="389"/>
      <c r="L230" s="389"/>
      <c r="M230" s="389"/>
      <c r="N230" s="389"/>
      <c r="O230" s="389"/>
      <c r="P230" s="389"/>
      <c r="Q230" s="389"/>
      <c r="R230" s="389"/>
      <c r="S230" s="389"/>
      <c r="T230" s="389"/>
      <c r="U230" s="389"/>
      <c r="V230" s="389"/>
      <c r="W230" s="389"/>
      <c r="X230" s="389"/>
      <c r="Y230" s="389"/>
      <c r="Z230" s="389">
        <f t="shared" si="63"/>
        <v>0</v>
      </c>
      <c r="AA230" s="389"/>
      <c r="AB230" s="389"/>
      <c r="AC230" s="389"/>
      <c r="AD230" s="389"/>
      <c r="AE230" s="389"/>
      <c r="AF230" s="389">
        <f t="shared" si="47"/>
        <v>0</v>
      </c>
      <c r="AG230" s="389"/>
      <c r="AH230" s="389"/>
      <c r="AI230" s="389"/>
    </row>
    <row r="231" spans="2:35" ht="28.5">
      <c r="B231" s="381"/>
      <c r="C231" s="381">
        <f>'[1]GASTOS MATRIZ'!B227</f>
        <v>540</v>
      </c>
      <c r="D231" s="381"/>
      <c r="E231" s="390"/>
      <c r="F231" s="390"/>
      <c r="G231" s="403" t="str">
        <f>'[1]GASTOS MATRIZ'!F227</f>
        <v>Adquisición de Equipos de Oficina y Computación</v>
      </c>
      <c r="H231" s="395">
        <f>SUM(H232:H236)</f>
        <v>21117072</v>
      </c>
      <c r="I231" s="395">
        <f aca="true" t="shared" si="66" ref="I231:AI231">SUM(I232:I236)</f>
        <v>0</v>
      </c>
      <c r="J231" s="395">
        <f t="shared" si="66"/>
        <v>21117072</v>
      </c>
      <c r="K231" s="395">
        <f t="shared" si="66"/>
        <v>0</v>
      </c>
      <c r="L231" s="395">
        <f t="shared" si="66"/>
        <v>0</v>
      </c>
      <c r="M231" s="395">
        <f t="shared" si="66"/>
        <v>0</v>
      </c>
      <c r="N231" s="395">
        <f t="shared" si="66"/>
        <v>0</v>
      </c>
      <c r="O231" s="395">
        <f t="shared" si="66"/>
        <v>0</v>
      </c>
      <c r="P231" s="395">
        <f t="shared" si="66"/>
        <v>0</v>
      </c>
      <c r="Q231" s="395">
        <f t="shared" si="66"/>
        <v>0</v>
      </c>
      <c r="R231" s="395">
        <f t="shared" si="66"/>
        <v>0</v>
      </c>
      <c r="S231" s="395">
        <f t="shared" si="66"/>
        <v>0</v>
      </c>
      <c r="T231" s="395">
        <f t="shared" si="66"/>
        <v>0</v>
      </c>
      <c r="U231" s="395">
        <f t="shared" si="66"/>
        <v>0</v>
      </c>
      <c r="V231" s="395">
        <f t="shared" si="66"/>
        <v>0</v>
      </c>
      <c r="W231" s="395">
        <f t="shared" si="66"/>
        <v>0</v>
      </c>
      <c r="X231" s="395">
        <f t="shared" si="66"/>
        <v>0</v>
      </c>
      <c r="Y231" s="395">
        <f t="shared" si="66"/>
        <v>0</v>
      </c>
      <c r="Z231" s="395">
        <f t="shared" si="66"/>
        <v>0</v>
      </c>
      <c r="AA231" s="395">
        <f t="shared" si="66"/>
        <v>0</v>
      </c>
      <c r="AB231" s="395">
        <f t="shared" si="66"/>
        <v>0</v>
      </c>
      <c r="AC231" s="395">
        <f t="shared" si="66"/>
        <v>0</v>
      </c>
      <c r="AD231" s="395">
        <f t="shared" si="66"/>
        <v>0</v>
      </c>
      <c r="AE231" s="395">
        <f t="shared" si="66"/>
        <v>0</v>
      </c>
      <c r="AF231" s="395">
        <f t="shared" si="47"/>
        <v>0</v>
      </c>
      <c r="AG231" s="395">
        <f t="shared" si="66"/>
        <v>21117072</v>
      </c>
      <c r="AH231" s="395">
        <f t="shared" si="66"/>
        <v>0</v>
      </c>
      <c r="AI231" s="395">
        <f t="shared" si="66"/>
        <v>0</v>
      </c>
    </row>
    <row r="232" spans="2:35" ht="14.25">
      <c r="B232" s="391"/>
      <c r="C232" s="391"/>
      <c r="D232" s="386">
        <f>'[1]GASTOS MATRIZ'!C228</f>
        <v>540</v>
      </c>
      <c r="E232" s="387" t="str">
        <f>'[1]GASTOS MATRIZ'!D228</f>
        <v>30</v>
      </c>
      <c r="F232" s="387" t="str">
        <f>'[1]GASTOS MATRIZ'!E228</f>
        <v>011</v>
      </c>
      <c r="G232" s="391" t="str">
        <f>'[1]GASTOS MATRIZ'!F228</f>
        <v>Adquisición de Equipos de Oficina y Computación</v>
      </c>
      <c r="H232" s="389">
        <f>'[1]GASTOS MATRIZ'!G228</f>
        <v>21117072</v>
      </c>
      <c r="I232" s="389">
        <f>'[1]GASTOS MATRIZ'!H228</f>
        <v>0</v>
      </c>
      <c r="J232" s="389">
        <f>H232+I232</f>
        <v>21117072</v>
      </c>
      <c r="K232" s="389">
        <f>'[1]RESU X MES'!H218</f>
        <v>0</v>
      </c>
      <c r="L232" s="389">
        <f>'[1]RESU X MES'!H476</f>
        <v>0</v>
      </c>
      <c r="M232" s="389">
        <f>'[1]RESU X MES'!H735</f>
        <v>0</v>
      </c>
      <c r="N232" s="389">
        <v>0</v>
      </c>
      <c r="O232" s="389">
        <f>+K232+L232+M232+N232</f>
        <v>0</v>
      </c>
      <c r="P232" s="389">
        <v>0</v>
      </c>
      <c r="Q232" s="389">
        <v>0</v>
      </c>
      <c r="R232" s="389"/>
      <c r="S232" s="389"/>
      <c r="T232" s="389">
        <f>SUM(K232:P232)</f>
        <v>0</v>
      </c>
      <c r="U232" s="389">
        <f>'[1]RESU X MES'!H1259</f>
        <v>0</v>
      </c>
      <c r="V232" s="389">
        <f>'[1]RESU X MES'!H1521</f>
        <v>0</v>
      </c>
      <c r="W232" s="389">
        <f>'[1]RESU X MES'!H1784</f>
        <v>0</v>
      </c>
      <c r="X232" s="389">
        <f>'[1]RESU X MES'!H2045</f>
        <v>0</v>
      </c>
      <c r="Y232" s="389">
        <f>SUM(U232:X232)</f>
        <v>0</v>
      </c>
      <c r="Z232" s="389">
        <f t="shared" si="63"/>
        <v>0</v>
      </c>
      <c r="AA232" s="389">
        <f>'[1]RESU X MES'!H2304</f>
        <v>0</v>
      </c>
      <c r="AB232" s="389">
        <f>'[1]RESU X MES'!H2566</f>
        <v>0</v>
      </c>
      <c r="AC232" s="389">
        <f>'[1]RESU X MES'!H2828</f>
        <v>0</v>
      </c>
      <c r="AD232" s="389">
        <f>'[1]RESU X MES'!H3092</f>
        <v>0</v>
      </c>
      <c r="AE232" s="389">
        <f>SUM(AA232:AD232)</f>
        <v>0</v>
      </c>
      <c r="AF232" s="389">
        <f t="shared" si="47"/>
        <v>0</v>
      </c>
      <c r="AG232" s="389">
        <f>J232-AF232</f>
        <v>21117072</v>
      </c>
      <c r="AH232" s="389">
        <f>AF232-AI232</f>
        <v>0</v>
      </c>
      <c r="AI232" s="389">
        <f>'[1]RESU X MES'!N218+'[1]RESU X MES'!N476+'[1]RESU X MES'!N735+'[1]RESU X MES'!N998+'[1]RESU X MES'!N1259+'[1]RESU X MES'!N1521+'[1]RESU X MES'!N1784+'[1]RESU X MES'!N2045+'[1]RESU X MES'!N2304+'[1]RESU X MES'!N2566+'[1]RESU X MES'!N2828+'[1]RESU X MES'!N3092</f>
        <v>0</v>
      </c>
    </row>
    <row r="233" spans="2:35" ht="15" customHeight="1" hidden="1">
      <c r="B233" s="391"/>
      <c r="C233" s="391"/>
      <c r="D233" s="386"/>
      <c r="E233" s="387"/>
      <c r="F233" s="387"/>
      <c r="G233" s="391"/>
      <c r="H233" s="389"/>
      <c r="I233" s="389"/>
      <c r="J233" s="389"/>
      <c r="K233" s="389"/>
      <c r="L233" s="389"/>
      <c r="M233" s="389"/>
      <c r="N233" s="389"/>
      <c r="O233" s="389"/>
      <c r="P233" s="389"/>
      <c r="Q233" s="389"/>
      <c r="R233" s="389"/>
      <c r="S233" s="389"/>
      <c r="T233" s="389"/>
      <c r="U233" s="389"/>
      <c r="V233" s="389"/>
      <c r="W233" s="389"/>
      <c r="X233" s="389"/>
      <c r="Y233" s="389"/>
      <c r="Z233" s="389">
        <f t="shared" si="63"/>
        <v>0</v>
      </c>
      <c r="AA233" s="389"/>
      <c r="AB233" s="389"/>
      <c r="AC233" s="389"/>
      <c r="AD233" s="389"/>
      <c r="AE233" s="389"/>
      <c r="AF233" s="389">
        <f t="shared" si="47"/>
        <v>0</v>
      </c>
      <c r="AG233" s="389"/>
      <c r="AH233" s="389"/>
      <c r="AI233" s="389"/>
    </row>
    <row r="234" spans="2:35" ht="15" customHeight="1" hidden="1">
      <c r="B234" s="391"/>
      <c r="C234" s="391"/>
      <c r="D234" s="386"/>
      <c r="E234" s="387"/>
      <c r="F234" s="387"/>
      <c r="G234" s="391"/>
      <c r="H234" s="389"/>
      <c r="I234" s="389"/>
      <c r="J234" s="389"/>
      <c r="K234" s="389"/>
      <c r="L234" s="389"/>
      <c r="M234" s="389"/>
      <c r="N234" s="389"/>
      <c r="O234" s="389"/>
      <c r="P234" s="389"/>
      <c r="Q234" s="389"/>
      <c r="R234" s="389"/>
      <c r="S234" s="389"/>
      <c r="T234" s="389"/>
      <c r="U234" s="389"/>
      <c r="V234" s="389"/>
      <c r="W234" s="389"/>
      <c r="X234" s="389"/>
      <c r="Y234" s="389"/>
      <c r="Z234" s="389">
        <f t="shared" si="63"/>
        <v>0</v>
      </c>
      <c r="AA234" s="389"/>
      <c r="AB234" s="389"/>
      <c r="AC234" s="389"/>
      <c r="AD234" s="389"/>
      <c r="AE234" s="389"/>
      <c r="AF234" s="389">
        <f t="shared" si="47"/>
        <v>0</v>
      </c>
      <c r="AG234" s="389"/>
      <c r="AH234" s="389"/>
      <c r="AI234" s="389"/>
    </row>
    <row r="235" spans="2:35" ht="15" customHeight="1" hidden="1">
      <c r="B235" s="391"/>
      <c r="C235" s="391"/>
      <c r="D235" s="386"/>
      <c r="E235" s="387"/>
      <c r="F235" s="387"/>
      <c r="G235" s="391"/>
      <c r="H235" s="389"/>
      <c r="I235" s="389"/>
      <c r="J235" s="389"/>
      <c r="K235" s="389"/>
      <c r="L235" s="389"/>
      <c r="M235" s="389"/>
      <c r="N235" s="389"/>
      <c r="O235" s="389"/>
      <c r="P235" s="389"/>
      <c r="Q235" s="389"/>
      <c r="R235" s="389"/>
      <c r="S235" s="389"/>
      <c r="T235" s="389"/>
      <c r="U235" s="389"/>
      <c r="V235" s="389"/>
      <c r="W235" s="389"/>
      <c r="X235" s="389"/>
      <c r="Y235" s="389"/>
      <c r="Z235" s="389">
        <f t="shared" si="63"/>
        <v>0</v>
      </c>
      <c r="AA235" s="389"/>
      <c r="AB235" s="389"/>
      <c r="AC235" s="389"/>
      <c r="AD235" s="389"/>
      <c r="AE235" s="389"/>
      <c r="AF235" s="389">
        <f t="shared" si="47"/>
        <v>0</v>
      </c>
      <c r="AG235" s="389"/>
      <c r="AH235" s="389"/>
      <c r="AI235" s="389"/>
    </row>
    <row r="236" spans="2:35" ht="15" customHeight="1" hidden="1">
      <c r="B236" s="391"/>
      <c r="C236" s="391"/>
      <c r="D236" s="386"/>
      <c r="E236" s="387"/>
      <c r="F236" s="387"/>
      <c r="G236" s="391"/>
      <c r="H236" s="389"/>
      <c r="I236" s="389"/>
      <c r="J236" s="389"/>
      <c r="K236" s="389"/>
      <c r="L236" s="389"/>
      <c r="M236" s="389"/>
      <c r="N236" s="389"/>
      <c r="O236" s="389"/>
      <c r="P236" s="389"/>
      <c r="Q236" s="389"/>
      <c r="R236" s="389"/>
      <c r="S236" s="389"/>
      <c r="T236" s="389"/>
      <c r="U236" s="389"/>
      <c r="V236" s="389"/>
      <c r="W236" s="389"/>
      <c r="X236" s="389"/>
      <c r="Y236" s="389"/>
      <c r="Z236" s="389">
        <f t="shared" si="63"/>
        <v>0</v>
      </c>
      <c r="AA236" s="389"/>
      <c r="AB236" s="389"/>
      <c r="AC236" s="389"/>
      <c r="AD236" s="389"/>
      <c r="AE236" s="389"/>
      <c r="AF236" s="389">
        <f t="shared" si="47"/>
        <v>0</v>
      </c>
      <c r="AG236" s="389"/>
      <c r="AH236" s="389"/>
      <c r="AI236" s="389"/>
    </row>
    <row r="237" spans="2:35" ht="15" customHeight="1" hidden="1">
      <c r="B237" s="383"/>
      <c r="C237" s="383">
        <f>'[1]GASTOS MATRIZ'!B233</f>
        <v>570</v>
      </c>
      <c r="D237" s="381"/>
      <c r="E237" s="390"/>
      <c r="F237" s="390"/>
      <c r="G237" s="383" t="str">
        <f>'[1]GASTOS MATRIZ'!F233</f>
        <v>Adquisición de Activos Intangibles</v>
      </c>
      <c r="H237" s="382">
        <f aca="true" t="shared" si="67" ref="H237:M237">SUM(H238:H240)</f>
        <v>0</v>
      </c>
      <c r="I237" s="382">
        <f t="shared" si="67"/>
        <v>0</v>
      </c>
      <c r="J237" s="382">
        <f t="shared" si="67"/>
        <v>0</v>
      </c>
      <c r="K237" s="382">
        <f t="shared" si="67"/>
        <v>0</v>
      </c>
      <c r="L237" s="382">
        <f t="shared" si="67"/>
        <v>0</v>
      </c>
      <c r="M237" s="382">
        <f t="shared" si="67"/>
        <v>0</v>
      </c>
      <c r="N237" s="382"/>
      <c r="O237" s="382">
        <f>SUM(E237:J237)</f>
        <v>0</v>
      </c>
      <c r="P237" s="382"/>
      <c r="Q237" s="382"/>
      <c r="R237" s="382"/>
      <c r="S237" s="382"/>
      <c r="T237" s="382">
        <f>SUM(K237:P237)</f>
        <v>0</v>
      </c>
      <c r="U237" s="382">
        <f>SUM(U238:U240)</f>
        <v>0</v>
      </c>
      <c r="V237" s="382">
        <f>SUM(V238:V240)</f>
        <v>0</v>
      </c>
      <c r="W237" s="382">
        <f>SUM(W238:W240)</f>
        <v>0</v>
      </c>
      <c r="X237" s="382">
        <f>SUM(X238:X240)</f>
        <v>0</v>
      </c>
      <c r="Y237" s="382">
        <f>SUM(U237:X237)</f>
        <v>0</v>
      </c>
      <c r="Z237" s="382">
        <f t="shared" si="63"/>
        <v>0</v>
      </c>
      <c r="AA237" s="382">
        <f>SUM(AA238:AA240)</f>
        <v>0</v>
      </c>
      <c r="AB237" s="382">
        <f>SUM(AB238:AB240)</f>
        <v>0</v>
      </c>
      <c r="AC237" s="382">
        <f>SUM(AC238:AC240)</f>
        <v>0</v>
      </c>
      <c r="AD237" s="382">
        <f>SUM(AD238:AD240)</f>
        <v>0</v>
      </c>
      <c r="AE237" s="382">
        <f>SUM(AA237:AD237)</f>
        <v>0</v>
      </c>
      <c r="AF237" s="382">
        <f t="shared" si="47"/>
        <v>0</v>
      </c>
      <c r="AG237" s="382">
        <f>SUM(AG238:AG240)</f>
        <v>0</v>
      </c>
      <c r="AH237" s="382">
        <f>SUM(AH238:AH240)</f>
        <v>0</v>
      </c>
      <c r="AI237" s="382">
        <f>SUM(AI238:AI240)</f>
        <v>0</v>
      </c>
    </row>
    <row r="238" spans="2:35" ht="15" customHeight="1" hidden="1">
      <c r="B238" s="391"/>
      <c r="C238" s="391"/>
      <c r="D238" s="386">
        <f>'[1]GASTOS MATRIZ'!C234</f>
        <v>570</v>
      </c>
      <c r="E238" s="387" t="str">
        <f>'[1]GASTOS MATRIZ'!D234</f>
        <v>30</v>
      </c>
      <c r="F238" s="387" t="str">
        <f>'[1]GASTOS MATRIZ'!E234</f>
        <v>011</v>
      </c>
      <c r="G238" s="391" t="str">
        <f>'[1]GASTOS MATRIZ'!F234</f>
        <v>Adquisición de Activos Intangibles</v>
      </c>
      <c r="H238" s="389">
        <f>'[1]GASTOS MATRIZ'!G234</f>
        <v>0</v>
      </c>
      <c r="I238" s="389">
        <f>'[1]GASTOS MATRIZ'!H234</f>
        <v>0</v>
      </c>
      <c r="J238" s="389">
        <f>H238+I238</f>
        <v>0</v>
      </c>
      <c r="K238" s="389">
        <f>'[1]RESU X MES'!H224</f>
        <v>0</v>
      </c>
      <c r="L238" s="389">
        <f>'[1]RESU X MES'!H482</f>
        <v>0</v>
      </c>
      <c r="M238" s="389">
        <f>'[1]RESU X MES'!H741</f>
        <v>0</v>
      </c>
      <c r="N238" s="389"/>
      <c r="O238" s="389">
        <f>SUM(E238:J238)</f>
        <v>0</v>
      </c>
      <c r="P238" s="389"/>
      <c r="Q238" s="389"/>
      <c r="R238" s="389"/>
      <c r="S238" s="389"/>
      <c r="T238" s="389">
        <f>SUM(K238:P238)</f>
        <v>0</v>
      </c>
      <c r="U238" s="389">
        <f>'[1]RESU X MES'!H1265</f>
        <v>0</v>
      </c>
      <c r="V238" s="389">
        <f>'[1]RESU X MES'!H1527</f>
        <v>0</v>
      </c>
      <c r="W238" s="389">
        <f>'[1]RESU X MES'!H1790</f>
        <v>0</v>
      </c>
      <c r="X238" s="389">
        <f>'[1]RESU X MES'!H2051</f>
        <v>0</v>
      </c>
      <c r="Y238" s="389">
        <f>SUM(U238:X238)</f>
        <v>0</v>
      </c>
      <c r="Z238" s="389">
        <f t="shared" si="63"/>
        <v>0</v>
      </c>
      <c r="AA238" s="389">
        <f>'[1]RESU X MES'!H2310</f>
        <v>0</v>
      </c>
      <c r="AB238" s="389">
        <f>'[1]RESU X MES'!H2572</f>
        <v>0</v>
      </c>
      <c r="AC238" s="389">
        <f>'[1]RESU X MES'!H2834</f>
        <v>0</v>
      </c>
      <c r="AD238" s="389">
        <f>'[1]RESU X MES'!H3098</f>
        <v>0</v>
      </c>
      <c r="AE238" s="389">
        <f>SUM(AA238:AD238)</f>
        <v>0</v>
      </c>
      <c r="AF238" s="389">
        <f t="shared" si="47"/>
        <v>0</v>
      </c>
      <c r="AG238" s="389">
        <f>J238-AF238</f>
        <v>0</v>
      </c>
      <c r="AH238" s="389">
        <f>AF238-AI238</f>
        <v>0</v>
      </c>
      <c r="AI238" s="389">
        <f>'[1]RESU X MES'!N224+'[1]RESU X MES'!N482+'[1]RESU X MES'!N741+'[1]RESU X MES'!N1004+'[1]RESU X MES'!N1265+'[1]RESU X MES'!N1527+'[1]RESU X MES'!N1790+'[1]RESU X MES'!N2051+'[1]RESU X MES'!N2310+'[1]RESU X MES'!N2572+'[1]RESU X MES'!N2834+'[1]RESU X MES'!N3098</f>
        <v>0</v>
      </c>
    </row>
    <row r="239" spans="2:35" ht="15" customHeight="1" hidden="1">
      <c r="B239" s="391"/>
      <c r="C239" s="391"/>
      <c r="D239" s="386"/>
      <c r="E239" s="387"/>
      <c r="F239" s="387"/>
      <c r="G239" s="391"/>
      <c r="H239" s="389"/>
      <c r="I239" s="389"/>
      <c r="J239" s="389"/>
      <c r="K239" s="389"/>
      <c r="L239" s="389"/>
      <c r="M239" s="389"/>
      <c r="N239" s="389"/>
      <c r="O239" s="389"/>
      <c r="P239" s="389"/>
      <c r="Q239" s="389"/>
      <c r="R239" s="389"/>
      <c r="S239" s="389"/>
      <c r="T239" s="389"/>
      <c r="U239" s="389"/>
      <c r="V239" s="389"/>
      <c r="W239" s="389"/>
      <c r="X239" s="389"/>
      <c r="Y239" s="389"/>
      <c r="Z239" s="389">
        <f t="shared" si="63"/>
        <v>0</v>
      </c>
      <c r="AA239" s="389"/>
      <c r="AB239" s="389"/>
      <c r="AC239" s="389"/>
      <c r="AD239" s="389"/>
      <c r="AE239" s="389"/>
      <c r="AF239" s="389">
        <f aca="true" t="shared" si="68" ref="AF239:AF269">+O239+P239+Q239+R239+S239</f>
        <v>0</v>
      </c>
      <c r="AG239" s="389"/>
      <c r="AH239" s="389"/>
      <c r="AI239" s="389"/>
    </row>
    <row r="240" spans="2:35" ht="14.25">
      <c r="B240" s="391"/>
      <c r="C240" s="391"/>
      <c r="D240" s="386"/>
      <c r="E240" s="387"/>
      <c r="F240" s="387"/>
      <c r="G240" s="391"/>
      <c r="H240" s="389"/>
      <c r="I240" s="389"/>
      <c r="J240" s="389"/>
      <c r="K240" s="389"/>
      <c r="L240" s="389"/>
      <c r="M240" s="389"/>
      <c r="N240" s="389"/>
      <c r="O240" s="389"/>
      <c r="P240" s="389"/>
      <c r="Q240" s="389"/>
      <c r="R240" s="389"/>
      <c r="S240" s="389"/>
      <c r="T240" s="389"/>
      <c r="U240" s="389"/>
      <c r="V240" s="389"/>
      <c r="W240" s="389"/>
      <c r="X240" s="389"/>
      <c r="Y240" s="389"/>
      <c r="Z240" s="389">
        <f t="shared" si="63"/>
        <v>0</v>
      </c>
      <c r="AA240" s="389"/>
      <c r="AB240" s="389"/>
      <c r="AC240" s="389"/>
      <c r="AD240" s="389"/>
      <c r="AE240" s="389"/>
      <c r="AF240" s="389">
        <f t="shared" si="68"/>
        <v>0</v>
      </c>
      <c r="AG240" s="389"/>
      <c r="AH240" s="389"/>
      <c r="AI240" s="389"/>
    </row>
    <row r="241" spans="2:35" ht="14.25">
      <c r="B241" s="383"/>
      <c r="C241" s="383">
        <f>'[1]GASTOS MATRIZ'!B237</f>
        <v>580</v>
      </c>
      <c r="D241" s="381"/>
      <c r="E241" s="390"/>
      <c r="F241" s="390"/>
      <c r="G241" s="383" t="str">
        <f>'[1]GASTOS MATRIZ'!F237</f>
        <v>Estudios de Proyectos de Inversión</v>
      </c>
      <c r="H241" s="382">
        <f aca="true" t="shared" si="69" ref="H241:AI241">H242</f>
        <v>54548248</v>
      </c>
      <c r="I241" s="382">
        <f t="shared" si="69"/>
        <v>0</v>
      </c>
      <c r="J241" s="382">
        <f t="shared" si="69"/>
        <v>54548248</v>
      </c>
      <c r="K241" s="382">
        <f t="shared" si="69"/>
        <v>0</v>
      </c>
      <c r="L241" s="382">
        <f t="shared" si="69"/>
        <v>0</v>
      </c>
      <c r="M241" s="382">
        <f t="shared" si="69"/>
        <v>0</v>
      </c>
      <c r="N241" s="382">
        <f t="shared" si="69"/>
        <v>0</v>
      </c>
      <c r="O241" s="382">
        <f t="shared" si="69"/>
        <v>0</v>
      </c>
      <c r="P241" s="382">
        <f t="shared" si="69"/>
        <v>0</v>
      </c>
      <c r="Q241" s="382">
        <f t="shared" si="69"/>
        <v>0</v>
      </c>
      <c r="R241" s="382">
        <f t="shared" si="69"/>
        <v>0</v>
      </c>
      <c r="S241" s="382">
        <f t="shared" si="69"/>
        <v>0</v>
      </c>
      <c r="T241" s="382">
        <f t="shared" si="69"/>
        <v>0</v>
      </c>
      <c r="U241" s="382">
        <f t="shared" si="69"/>
        <v>0</v>
      </c>
      <c r="V241" s="382">
        <f t="shared" si="69"/>
        <v>0</v>
      </c>
      <c r="W241" s="382">
        <f t="shared" si="69"/>
        <v>0</v>
      </c>
      <c r="X241" s="382">
        <f t="shared" si="69"/>
        <v>0</v>
      </c>
      <c r="Y241" s="382">
        <f t="shared" si="69"/>
        <v>0</v>
      </c>
      <c r="Z241" s="382">
        <f t="shared" si="69"/>
        <v>0</v>
      </c>
      <c r="AA241" s="382">
        <f t="shared" si="69"/>
        <v>0</v>
      </c>
      <c r="AB241" s="382">
        <f t="shared" si="69"/>
        <v>0</v>
      </c>
      <c r="AC241" s="382">
        <f t="shared" si="69"/>
        <v>0</v>
      </c>
      <c r="AD241" s="382">
        <f t="shared" si="69"/>
        <v>0</v>
      </c>
      <c r="AE241" s="382">
        <f t="shared" si="69"/>
        <v>0</v>
      </c>
      <c r="AF241" s="382">
        <f t="shared" si="68"/>
        <v>0</v>
      </c>
      <c r="AG241" s="382">
        <f t="shared" si="69"/>
        <v>54548248</v>
      </c>
      <c r="AH241" s="382">
        <f t="shared" si="69"/>
        <v>0</v>
      </c>
      <c r="AI241" s="382">
        <f t="shared" si="69"/>
        <v>0</v>
      </c>
    </row>
    <row r="242" spans="2:35" ht="14.25">
      <c r="B242" s="391"/>
      <c r="C242" s="391"/>
      <c r="D242" s="386">
        <f>'[1]GASTOS MATRIZ'!C238</f>
        <v>580</v>
      </c>
      <c r="E242" s="387" t="str">
        <f>'[1]GASTOS MATRIZ'!D238</f>
        <v>30</v>
      </c>
      <c r="F242" s="387" t="str">
        <f>'[1]GASTOS MATRIZ'!E238</f>
        <v>011</v>
      </c>
      <c r="G242" s="391" t="str">
        <f>'[1]GASTOS MATRIZ'!F238</f>
        <v>Estudios de Proyectos de Inversión</v>
      </c>
      <c r="H242" s="389">
        <f>'[1]GASTOS MATRIZ'!G238</f>
        <v>54548248</v>
      </c>
      <c r="I242" s="389">
        <f>'[1]GASTOS MATRIZ'!H238</f>
        <v>0</v>
      </c>
      <c r="J242" s="389">
        <f>H242+I242</f>
        <v>54548248</v>
      </c>
      <c r="K242" s="389">
        <f>'[1]RESU X MES'!H228</f>
        <v>0</v>
      </c>
      <c r="L242" s="389">
        <f>'[1]RESU X MES'!H486</f>
        <v>0</v>
      </c>
      <c r="M242" s="389">
        <f>'[1]RESU X MES'!H745</f>
        <v>0</v>
      </c>
      <c r="N242" s="389">
        <v>0</v>
      </c>
      <c r="O242" s="389">
        <f>+K242+L242+M242+N242</f>
        <v>0</v>
      </c>
      <c r="P242" s="389">
        <v>0</v>
      </c>
      <c r="Q242" s="389">
        <v>0</v>
      </c>
      <c r="R242" s="389"/>
      <c r="S242" s="389"/>
      <c r="T242" s="389">
        <f>SUM(K242:P242)</f>
        <v>0</v>
      </c>
      <c r="U242" s="389">
        <f>'[1]RESU X MES'!H1269</f>
        <v>0</v>
      </c>
      <c r="V242" s="389">
        <f>'[1]RESU X MES'!H1531</f>
        <v>0</v>
      </c>
      <c r="W242" s="389">
        <f>'[1]RESU X MES'!H1794</f>
        <v>0</v>
      </c>
      <c r="X242" s="389">
        <f>'[1]RESU X MES'!H2055</f>
        <v>0</v>
      </c>
      <c r="Y242" s="389">
        <f>SUM(U242:X242)</f>
        <v>0</v>
      </c>
      <c r="Z242" s="389">
        <f t="shared" si="63"/>
        <v>0</v>
      </c>
      <c r="AA242" s="389">
        <f>'[1]RESU X MES'!H2314</f>
        <v>0</v>
      </c>
      <c r="AB242" s="389">
        <f>'[1]RESU X MES'!H2576</f>
        <v>0</v>
      </c>
      <c r="AC242" s="389">
        <f>'[1]RESU X MES'!H2838</f>
        <v>0</v>
      </c>
      <c r="AD242" s="389">
        <f>'[1]RESU X MES'!H3102</f>
        <v>0</v>
      </c>
      <c r="AE242" s="389">
        <f>SUM(AA242:AD242)</f>
        <v>0</v>
      </c>
      <c r="AF242" s="389">
        <f t="shared" si="68"/>
        <v>0</v>
      </c>
      <c r="AG242" s="389">
        <f>J242-AF242</f>
        <v>54548248</v>
      </c>
      <c r="AH242" s="389">
        <f>AF242-AI242</f>
        <v>0</v>
      </c>
      <c r="AI242" s="389">
        <f>'[1]RESU X MES'!N228+'[1]RESU X MES'!N486+'[1]RESU X MES'!N745+'[1]RESU X MES'!N1008+'[1]RESU X MES'!N1269+'[1]RESU X MES'!N1531+'[1]RESU X MES'!N1794+'[1]RESU X MES'!N2055+'[1]RESU X MES'!N2314+'[1]RESU X MES'!N2576+'[1]RESU X MES'!N2838+'[1]RESU X MES'!N3102</f>
        <v>0</v>
      </c>
    </row>
    <row r="243" spans="2:35" ht="14.25">
      <c r="B243" s="391"/>
      <c r="C243" s="391"/>
      <c r="D243" s="386"/>
      <c r="E243" s="387"/>
      <c r="F243" s="387"/>
      <c r="G243" s="391"/>
      <c r="H243" s="389"/>
      <c r="I243" s="389"/>
      <c r="J243" s="389"/>
      <c r="K243" s="389"/>
      <c r="L243" s="389"/>
      <c r="M243" s="389"/>
      <c r="N243" s="389"/>
      <c r="O243" s="389"/>
      <c r="P243" s="389"/>
      <c r="Q243" s="389"/>
      <c r="R243" s="389"/>
      <c r="S243" s="389"/>
      <c r="T243" s="389"/>
      <c r="U243" s="389"/>
      <c r="V243" s="389"/>
      <c r="W243" s="389"/>
      <c r="X243" s="389"/>
      <c r="Y243" s="389"/>
      <c r="Z243" s="389">
        <f t="shared" si="63"/>
        <v>0</v>
      </c>
      <c r="AA243" s="389"/>
      <c r="AB243" s="389"/>
      <c r="AC243" s="389"/>
      <c r="AD243" s="389"/>
      <c r="AE243" s="389"/>
      <c r="AF243" s="389">
        <f t="shared" si="68"/>
        <v>0</v>
      </c>
      <c r="AG243" s="389"/>
      <c r="AH243" s="389"/>
      <c r="AI243" s="389"/>
    </row>
    <row r="244" spans="2:35" ht="14.25">
      <c r="B244" s="383"/>
      <c r="C244" s="383">
        <f>'[1]GASTOS MATRIZ'!B240</f>
        <v>590</v>
      </c>
      <c r="D244" s="381"/>
      <c r="E244" s="390"/>
      <c r="F244" s="390"/>
      <c r="G244" s="383" t="str">
        <f>'[1]GASTOS MATRIZ'!F240</f>
        <v>Otros Gastos de Inversiones Mayores</v>
      </c>
      <c r="H244" s="382">
        <f aca="true" t="shared" si="70" ref="H244:M244">SUM(H245:H246)</f>
        <v>0</v>
      </c>
      <c r="I244" s="382">
        <f t="shared" si="70"/>
        <v>0</v>
      </c>
      <c r="J244" s="382">
        <f t="shared" si="70"/>
        <v>0</v>
      </c>
      <c r="K244" s="382">
        <f t="shared" si="70"/>
        <v>0</v>
      </c>
      <c r="L244" s="382">
        <f t="shared" si="70"/>
        <v>0</v>
      </c>
      <c r="M244" s="382">
        <f t="shared" si="70"/>
        <v>0</v>
      </c>
      <c r="N244" s="382">
        <v>0</v>
      </c>
      <c r="O244" s="382">
        <f>SUM(E244:J244)</f>
        <v>0</v>
      </c>
      <c r="P244" s="382">
        <v>0</v>
      </c>
      <c r="Q244" s="382">
        <v>0</v>
      </c>
      <c r="R244" s="382"/>
      <c r="S244" s="382"/>
      <c r="T244" s="382">
        <f>SUM(K244:P244)</f>
        <v>0</v>
      </c>
      <c r="U244" s="382">
        <f>SUM(U245:U246)</f>
        <v>0</v>
      </c>
      <c r="V244" s="382">
        <f>SUM(V245:V246)</f>
        <v>0</v>
      </c>
      <c r="W244" s="382">
        <f>SUM(W245:W246)</f>
        <v>0</v>
      </c>
      <c r="X244" s="382">
        <f>SUM(X245:X246)</f>
        <v>0</v>
      </c>
      <c r="Y244" s="382">
        <f>SUM(U244:X244)</f>
        <v>0</v>
      </c>
      <c r="Z244" s="382">
        <f t="shared" si="63"/>
        <v>0</v>
      </c>
      <c r="AA244" s="382">
        <f>SUM(AA245:AA246)</f>
        <v>0</v>
      </c>
      <c r="AB244" s="382">
        <f>SUM(AB245:AB246)</f>
        <v>0</v>
      </c>
      <c r="AC244" s="382">
        <f>SUM(AC245:AC246)</f>
        <v>0</v>
      </c>
      <c r="AD244" s="382">
        <f>SUM(AD245:AD246)</f>
        <v>0</v>
      </c>
      <c r="AE244" s="382">
        <f>SUM(AA244:AD244)</f>
        <v>0</v>
      </c>
      <c r="AF244" s="382">
        <f t="shared" si="68"/>
        <v>0</v>
      </c>
      <c r="AG244" s="382">
        <f>SUM(AG245:AG246)</f>
        <v>0</v>
      </c>
      <c r="AH244" s="382">
        <f>SUM(AH245:AH246)</f>
        <v>0</v>
      </c>
      <c r="AI244" s="382">
        <f>SUM(AI245:AI246)</f>
        <v>0</v>
      </c>
    </row>
    <row r="245" spans="2:35" ht="14.25">
      <c r="B245" s="391"/>
      <c r="C245" s="391"/>
      <c r="D245" s="386">
        <f>'[1]GASTOS MATRIZ'!C241</f>
        <v>590</v>
      </c>
      <c r="E245" s="387" t="str">
        <f>'[1]GASTOS MATRIZ'!D241</f>
        <v>30</v>
      </c>
      <c r="F245" s="387" t="str">
        <f>'[1]GASTOS MATRIZ'!E241</f>
        <v>011</v>
      </c>
      <c r="G245" s="391" t="str">
        <f>'[1]GASTOS MATRIZ'!F241</f>
        <v>Otros Gastos de Inversiones  y Reparaciones Mayores</v>
      </c>
      <c r="H245" s="389">
        <f>'[1]GASTOS MATRIZ'!G241</f>
        <v>0</v>
      </c>
      <c r="I245" s="389">
        <f>'[1]GASTOS MATRIZ'!H241</f>
        <v>0</v>
      </c>
      <c r="J245" s="389">
        <f>H245+I245</f>
        <v>0</v>
      </c>
      <c r="K245" s="389">
        <f>'[1]RESU X MES'!H231</f>
        <v>0</v>
      </c>
      <c r="L245" s="389">
        <f>'[1]RESU X MES'!H489</f>
        <v>0</v>
      </c>
      <c r="M245" s="389">
        <f>'[1]RESU X MES'!H748</f>
        <v>0</v>
      </c>
      <c r="N245" s="389">
        <v>0</v>
      </c>
      <c r="O245" s="389">
        <f>SUM(E245:J245)</f>
        <v>0</v>
      </c>
      <c r="P245" s="389">
        <v>0</v>
      </c>
      <c r="Q245" s="389">
        <v>0</v>
      </c>
      <c r="R245" s="389"/>
      <c r="S245" s="389"/>
      <c r="T245" s="389">
        <f>SUM(K245:P245)</f>
        <v>0</v>
      </c>
      <c r="U245" s="389">
        <f>'[1]RESU X MES'!H1272</f>
        <v>0</v>
      </c>
      <c r="V245" s="389">
        <f>'[1]RESU X MES'!H1534</f>
        <v>0</v>
      </c>
      <c r="W245" s="389">
        <f>'[1]RESU X MES'!H1797</f>
        <v>0</v>
      </c>
      <c r="X245" s="389">
        <f>'[1]RESU X MES'!H2058</f>
        <v>0</v>
      </c>
      <c r="Y245" s="389">
        <f>SUM(U245:X245)</f>
        <v>0</v>
      </c>
      <c r="Z245" s="389">
        <f t="shared" si="63"/>
        <v>0</v>
      </c>
      <c r="AA245" s="389">
        <f>'[1]RESU X MES'!H2317</f>
        <v>0</v>
      </c>
      <c r="AB245" s="389">
        <f>'[1]RESU X MES'!H2579</f>
        <v>0</v>
      </c>
      <c r="AC245" s="389">
        <f>'[1]RESU X MES'!H2841</f>
        <v>0</v>
      </c>
      <c r="AD245" s="389">
        <f>'[1]RESU X MES'!H3105</f>
        <v>0</v>
      </c>
      <c r="AE245" s="389">
        <f>SUM(AA245:AD245)</f>
        <v>0</v>
      </c>
      <c r="AF245" s="389">
        <f t="shared" si="68"/>
        <v>0</v>
      </c>
      <c r="AG245" s="389">
        <f>J245-AF245</f>
        <v>0</v>
      </c>
      <c r="AH245" s="389">
        <f>AF245-AI245</f>
        <v>0</v>
      </c>
      <c r="AI245" s="389">
        <f>'[1]RESU X MES'!N231+'[1]RESU X MES'!N489+'[1]RESU X MES'!N748+'[1]RESU X MES'!N1011+'[1]RESU X MES'!N1272+'[1]RESU X MES'!N1534+'[1]RESU X MES'!N1797+'[1]RESU X MES'!N2058+'[1]RESU X MES'!N2317+'[1]RESU X MES'!N2579+'[1]RESU X MES'!N2841+'[1]RESU X MES'!N3105</f>
        <v>0</v>
      </c>
    </row>
    <row r="246" spans="2:35" ht="15" customHeight="1" hidden="1">
      <c r="B246" s="391"/>
      <c r="C246" s="391"/>
      <c r="D246" s="386"/>
      <c r="E246" s="387"/>
      <c r="F246" s="387"/>
      <c r="G246" s="391"/>
      <c r="H246" s="389"/>
      <c r="I246" s="389"/>
      <c r="J246" s="389"/>
      <c r="K246" s="389"/>
      <c r="L246" s="389"/>
      <c r="M246" s="389"/>
      <c r="N246" s="389"/>
      <c r="O246" s="389"/>
      <c r="P246" s="389"/>
      <c r="Q246" s="389"/>
      <c r="R246" s="389"/>
      <c r="S246" s="389"/>
      <c r="T246" s="389"/>
      <c r="U246" s="389"/>
      <c r="V246" s="389"/>
      <c r="W246" s="389"/>
      <c r="X246" s="389"/>
      <c r="Y246" s="389"/>
      <c r="Z246" s="389">
        <f t="shared" si="63"/>
        <v>0</v>
      </c>
      <c r="AA246" s="389"/>
      <c r="AB246" s="389"/>
      <c r="AC246" s="389"/>
      <c r="AD246" s="389"/>
      <c r="AE246" s="389"/>
      <c r="AF246" s="389">
        <f t="shared" si="68"/>
        <v>0</v>
      </c>
      <c r="AG246" s="389"/>
      <c r="AH246" s="389"/>
      <c r="AI246" s="389"/>
    </row>
    <row r="247" spans="2:35" ht="15" customHeight="1" hidden="1">
      <c r="B247" s="391"/>
      <c r="C247" s="391"/>
      <c r="D247" s="386"/>
      <c r="E247" s="387"/>
      <c r="F247" s="387"/>
      <c r="G247" s="391"/>
      <c r="H247" s="389"/>
      <c r="I247" s="389"/>
      <c r="J247" s="389"/>
      <c r="K247" s="389"/>
      <c r="L247" s="389"/>
      <c r="M247" s="389"/>
      <c r="N247" s="389"/>
      <c r="O247" s="389"/>
      <c r="P247" s="389"/>
      <c r="Q247" s="389"/>
      <c r="R247" s="389"/>
      <c r="S247" s="389"/>
      <c r="T247" s="389"/>
      <c r="U247" s="389"/>
      <c r="V247" s="389"/>
      <c r="W247" s="389"/>
      <c r="X247" s="389"/>
      <c r="Y247" s="389"/>
      <c r="Z247" s="389">
        <f t="shared" si="63"/>
        <v>0</v>
      </c>
      <c r="AA247" s="389"/>
      <c r="AB247" s="389"/>
      <c r="AC247" s="389"/>
      <c r="AD247" s="389"/>
      <c r="AE247" s="389"/>
      <c r="AF247" s="389">
        <f t="shared" si="68"/>
        <v>0</v>
      </c>
      <c r="AG247" s="389"/>
      <c r="AH247" s="389"/>
      <c r="AI247" s="389"/>
    </row>
    <row r="248" spans="2:35" ht="15" customHeight="1" hidden="1">
      <c r="B248" s="381">
        <f>'[1]GASTOS MATRIZ'!A244</f>
        <v>700</v>
      </c>
      <c r="C248" s="386"/>
      <c r="D248" s="386"/>
      <c r="E248" s="387"/>
      <c r="F248" s="387"/>
      <c r="G248" s="383" t="str">
        <f>'[1]GASTOS MATRIZ'!F244</f>
        <v>SERVICIO DE LA DEUDA PÚBLICA</v>
      </c>
      <c r="H248" s="382">
        <f aca="true" t="shared" si="71" ref="H248:M250">H249</f>
        <v>0</v>
      </c>
      <c r="I248" s="382">
        <f t="shared" si="71"/>
        <v>0</v>
      </c>
      <c r="J248" s="382">
        <f t="shared" si="71"/>
        <v>0</v>
      </c>
      <c r="K248" s="382">
        <f t="shared" si="71"/>
        <v>0</v>
      </c>
      <c r="L248" s="382">
        <f t="shared" si="71"/>
        <v>0</v>
      </c>
      <c r="M248" s="382">
        <f t="shared" si="71"/>
        <v>0</v>
      </c>
      <c r="N248" s="382"/>
      <c r="O248" s="382">
        <f>SUM(E248:J248)</f>
        <v>0</v>
      </c>
      <c r="P248" s="382"/>
      <c r="Q248" s="382"/>
      <c r="R248" s="382"/>
      <c r="S248" s="382"/>
      <c r="T248" s="382">
        <f>SUM(K248:P248)</f>
        <v>0</v>
      </c>
      <c r="U248" s="382">
        <f aca="true" t="shared" si="72" ref="U248:X250">U249</f>
        <v>0</v>
      </c>
      <c r="V248" s="382">
        <f t="shared" si="72"/>
        <v>0</v>
      </c>
      <c r="W248" s="382">
        <f t="shared" si="72"/>
        <v>0</v>
      </c>
      <c r="X248" s="382">
        <f t="shared" si="72"/>
        <v>0</v>
      </c>
      <c r="Y248" s="382">
        <f aca="true" t="shared" si="73" ref="Y248:Y266">SUM(U248:X248)</f>
        <v>0</v>
      </c>
      <c r="Z248" s="382">
        <f t="shared" si="63"/>
        <v>0</v>
      </c>
      <c r="AA248" s="382">
        <f aca="true" t="shared" si="74" ref="AA248:AD250">AA249</f>
        <v>0</v>
      </c>
      <c r="AB248" s="382">
        <f t="shared" si="74"/>
        <v>0</v>
      </c>
      <c r="AC248" s="382">
        <f t="shared" si="74"/>
        <v>0</v>
      </c>
      <c r="AD248" s="382">
        <f t="shared" si="74"/>
        <v>0</v>
      </c>
      <c r="AE248" s="382">
        <f aca="true" t="shared" si="75" ref="AE248:AE266">SUM(AA248:AD248)</f>
        <v>0</v>
      </c>
      <c r="AF248" s="382">
        <f t="shared" si="68"/>
        <v>0</v>
      </c>
      <c r="AG248" s="382">
        <f aca="true" t="shared" si="76" ref="AG248:AI250">AG249</f>
        <v>0</v>
      </c>
      <c r="AH248" s="382">
        <f t="shared" si="76"/>
        <v>0</v>
      </c>
      <c r="AI248" s="382">
        <f t="shared" si="76"/>
        <v>0</v>
      </c>
    </row>
    <row r="249" spans="2:35" ht="15" customHeight="1" hidden="1">
      <c r="B249" s="391"/>
      <c r="C249" s="383">
        <f>'[1]GASTOS MATRIZ'!B245</f>
        <v>730</v>
      </c>
      <c r="D249" s="386"/>
      <c r="E249" s="387"/>
      <c r="F249" s="387"/>
      <c r="G249" s="383" t="str">
        <f>'[1]GASTOS MATRIZ'!F245</f>
        <v>Amortización de la Deuda Pública Interna</v>
      </c>
      <c r="H249" s="382">
        <f t="shared" si="71"/>
        <v>0</v>
      </c>
      <c r="I249" s="382">
        <f t="shared" si="71"/>
        <v>0</v>
      </c>
      <c r="J249" s="382">
        <f t="shared" si="71"/>
        <v>0</v>
      </c>
      <c r="K249" s="382">
        <f t="shared" si="71"/>
        <v>0</v>
      </c>
      <c r="L249" s="382">
        <f t="shared" si="71"/>
        <v>0</v>
      </c>
      <c r="M249" s="382">
        <f t="shared" si="71"/>
        <v>0</v>
      </c>
      <c r="N249" s="382"/>
      <c r="O249" s="382">
        <f>SUM(E249:J249)</f>
        <v>0</v>
      </c>
      <c r="P249" s="382"/>
      <c r="Q249" s="382"/>
      <c r="R249" s="382"/>
      <c r="S249" s="382"/>
      <c r="T249" s="382">
        <f>SUM(K249:P249)</f>
        <v>0</v>
      </c>
      <c r="U249" s="382">
        <f t="shared" si="72"/>
        <v>0</v>
      </c>
      <c r="V249" s="382">
        <f t="shared" si="72"/>
        <v>0</v>
      </c>
      <c r="W249" s="382">
        <f t="shared" si="72"/>
        <v>0</v>
      </c>
      <c r="X249" s="382">
        <f t="shared" si="72"/>
        <v>0</v>
      </c>
      <c r="Y249" s="382">
        <f t="shared" si="73"/>
        <v>0</v>
      </c>
      <c r="Z249" s="382">
        <f t="shared" si="63"/>
        <v>0</v>
      </c>
      <c r="AA249" s="382">
        <f t="shared" si="74"/>
        <v>0</v>
      </c>
      <c r="AB249" s="382">
        <f t="shared" si="74"/>
        <v>0</v>
      </c>
      <c r="AC249" s="382">
        <f t="shared" si="74"/>
        <v>0</v>
      </c>
      <c r="AD249" s="382">
        <f t="shared" si="74"/>
        <v>0</v>
      </c>
      <c r="AE249" s="382">
        <f t="shared" si="75"/>
        <v>0</v>
      </c>
      <c r="AF249" s="382">
        <f t="shared" si="68"/>
        <v>0</v>
      </c>
      <c r="AG249" s="382">
        <f t="shared" si="76"/>
        <v>0</v>
      </c>
      <c r="AH249" s="382">
        <f t="shared" si="76"/>
        <v>0</v>
      </c>
      <c r="AI249" s="382">
        <f t="shared" si="76"/>
        <v>0</v>
      </c>
    </row>
    <row r="250" spans="2:35" ht="30" customHeight="1" hidden="1">
      <c r="B250" s="381"/>
      <c r="C250" s="381"/>
      <c r="D250" s="381">
        <f>'[1]GASTOS MATRIZ'!C246</f>
        <v>733</v>
      </c>
      <c r="E250" s="390"/>
      <c r="F250" s="390"/>
      <c r="G250" s="403" t="str">
        <f>'[1]GASTOS MATRIZ'!F246</f>
        <v>Amortización de la Deuda con el Sector Privado</v>
      </c>
      <c r="H250" s="395">
        <f t="shared" si="71"/>
        <v>0</v>
      </c>
      <c r="I250" s="395">
        <f t="shared" si="71"/>
        <v>0</v>
      </c>
      <c r="J250" s="395">
        <f t="shared" si="71"/>
        <v>0</v>
      </c>
      <c r="K250" s="395">
        <f t="shared" si="71"/>
        <v>0</v>
      </c>
      <c r="L250" s="395">
        <f t="shared" si="71"/>
        <v>0</v>
      </c>
      <c r="M250" s="395">
        <f t="shared" si="71"/>
        <v>0</v>
      </c>
      <c r="N250" s="395"/>
      <c r="O250" s="395">
        <f>SUM(E250:J250)</f>
        <v>0</v>
      </c>
      <c r="P250" s="395"/>
      <c r="Q250" s="395"/>
      <c r="R250" s="395"/>
      <c r="S250" s="395"/>
      <c r="T250" s="395">
        <f>SUM(K250:P250)</f>
        <v>0</v>
      </c>
      <c r="U250" s="395">
        <f t="shared" si="72"/>
        <v>0</v>
      </c>
      <c r="V250" s="395">
        <f t="shared" si="72"/>
        <v>0</v>
      </c>
      <c r="W250" s="395">
        <f t="shared" si="72"/>
        <v>0</v>
      </c>
      <c r="X250" s="395">
        <f t="shared" si="72"/>
        <v>0</v>
      </c>
      <c r="Y250" s="395">
        <f t="shared" si="73"/>
        <v>0</v>
      </c>
      <c r="Z250" s="395">
        <f t="shared" si="63"/>
        <v>0</v>
      </c>
      <c r="AA250" s="395">
        <f t="shared" si="74"/>
        <v>0</v>
      </c>
      <c r="AB250" s="395">
        <f t="shared" si="74"/>
        <v>0</v>
      </c>
      <c r="AC250" s="395">
        <f t="shared" si="74"/>
        <v>0</v>
      </c>
      <c r="AD250" s="395">
        <f t="shared" si="74"/>
        <v>0</v>
      </c>
      <c r="AE250" s="395">
        <f t="shared" si="75"/>
        <v>0</v>
      </c>
      <c r="AF250" s="395">
        <f t="shared" si="68"/>
        <v>0</v>
      </c>
      <c r="AG250" s="395">
        <f t="shared" si="76"/>
        <v>0</v>
      </c>
      <c r="AH250" s="395">
        <f t="shared" si="76"/>
        <v>0</v>
      </c>
      <c r="AI250" s="395">
        <f t="shared" si="76"/>
        <v>0</v>
      </c>
    </row>
    <row r="251" spans="2:35" ht="15" customHeight="1" hidden="1">
      <c r="B251" s="386"/>
      <c r="C251" s="386"/>
      <c r="D251" s="386"/>
      <c r="E251" s="387"/>
      <c r="F251" s="387"/>
      <c r="G251" s="391"/>
      <c r="H251" s="389"/>
      <c r="I251" s="389"/>
      <c r="J251" s="389"/>
      <c r="K251" s="389"/>
      <c r="L251" s="389"/>
      <c r="M251" s="389"/>
      <c r="N251" s="389"/>
      <c r="O251" s="389"/>
      <c r="P251" s="389"/>
      <c r="Q251" s="389"/>
      <c r="R251" s="389"/>
      <c r="S251" s="389"/>
      <c r="T251" s="389"/>
      <c r="U251" s="389"/>
      <c r="V251" s="389"/>
      <c r="W251" s="389"/>
      <c r="X251" s="389"/>
      <c r="Y251" s="389"/>
      <c r="Z251" s="389">
        <f t="shared" si="63"/>
        <v>0</v>
      </c>
      <c r="AA251" s="389"/>
      <c r="AB251" s="389"/>
      <c r="AC251" s="389"/>
      <c r="AD251" s="389"/>
      <c r="AE251" s="389"/>
      <c r="AF251" s="389">
        <f t="shared" si="68"/>
        <v>0</v>
      </c>
      <c r="AG251" s="389"/>
      <c r="AH251" s="389"/>
      <c r="AI251" s="389"/>
    </row>
    <row r="252" spans="2:35" ht="14.25">
      <c r="B252" s="391"/>
      <c r="C252" s="391"/>
      <c r="D252" s="386"/>
      <c r="E252" s="387"/>
      <c r="F252" s="387"/>
      <c r="G252" s="391"/>
      <c r="H252" s="389"/>
      <c r="I252" s="389"/>
      <c r="J252" s="389"/>
      <c r="K252" s="389"/>
      <c r="L252" s="389"/>
      <c r="M252" s="389"/>
      <c r="N252" s="389"/>
      <c r="O252" s="389"/>
      <c r="P252" s="389"/>
      <c r="Q252" s="389"/>
      <c r="R252" s="389"/>
      <c r="S252" s="389"/>
      <c r="T252" s="389"/>
      <c r="U252" s="389"/>
      <c r="V252" s="389"/>
      <c r="W252" s="389"/>
      <c r="X252" s="389"/>
      <c r="Y252" s="389"/>
      <c r="Z252" s="389">
        <f t="shared" si="63"/>
        <v>0</v>
      </c>
      <c r="AA252" s="389"/>
      <c r="AB252" s="389"/>
      <c r="AC252" s="389"/>
      <c r="AD252" s="389"/>
      <c r="AE252" s="389"/>
      <c r="AF252" s="389">
        <f t="shared" si="68"/>
        <v>0</v>
      </c>
      <c r="AG252" s="389"/>
      <c r="AH252" s="389"/>
      <c r="AI252" s="389"/>
    </row>
    <row r="253" spans="2:35" ht="14.25">
      <c r="B253" s="381">
        <f>'[1]GASTOS MATRIZ'!A249</f>
        <v>800</v>
      </c>
      <c r="C253" s="386"/>
      <c r="D253" s="386"/>
      <c r="E253" s="387"/>
      <c r="F253" s="387"/>
      <c r="G253" s="383" t="str">
        <f>'[1]GASTOS MATRIZ'!F249</f>
        <v>TRANSFERENCIAS</v>
      </c>
      <c r="H253" s="382">
        <f aca="true" t="shared" si="77" ref="H253:AI253">H254+H261</f>
        <v>0</v>
      </c>
      <c r="I253" s="382">
        <f t="shared" si="77"/>
        <v>0</v>
      </c>
      <c r="J253" s="382">
        <f t="shared" si="77"/>
        <v>0</v>
      </c>
      <c r="K253" s="382">
        <f t="shared" si="77"/>
        <v>0</v>
      </c>
      <c r="L253" s="382">
        <f t="shared" si="77"/>
        <v>0</v>
      </c>
      <c r="M253" s="382">
        <f t="shared" si="77"/>
        <v>0</v>
      </c>
      <c r="N253" s="382">
        <f t="shared" si="77"/>
        <v>0</v>
      </c>
      <c r="O253" s="382">
        <f t="shared" si="77"/>
        <v>0</v>
      </c>
      <c r="P253" s="382">
        <f t="shared" si="77"/>
        <v>0</v>
      </c>
      <c r="Q253" s="382">
        <f t="shared" si="77"/>
        <v>0</v>
      </c>
      <c r="R253" s="382">
        <f t="shared" si="77"/>
        <v>0</v>
      </c>
      <c r="S253" s="382">
        <f t="shared" si="77"/>
        <v>0</v>
      </c>
      <c r="T253" s="382">
        <f t="shared" si="77"/>
        <v>0</v>
      </c>
      <c r="U253" s="382">
        <f t="shared" si="77"/>
        <v>0</v>
      </c>
      <c r="V253" s="382">
        <f t="shared" si="77"/>
        <v>0</v>
      </c>
      <c r="W253" s="382">
        <f t="shared" si="77"/>
        <v>0</v>
      </c>
      <c r="X253" s="382">
        <f t="shared" si="77"/>
        <v>0</v>
      </c>
      <c r="Y253" s="382">
        <f t="shared" si="77"/>
        <v>0</v>
      </c>
      <c r="Z253" s="382">
        <f t="shared" si="77"/>
        <v>0</v>
      </c>
      <c r="AA253" s="382">
        <f t="shared" si="77"/>
        <v>0</v>
      </c>
      <c r="AB253" s="382">
        <f t="shared" si="77"/>
        <v>0</v>
      </c>
      <c r="AC253" s="382">
        <f t="shared" si="77"/>
        <v>0</v>
      </c>
      <c r="AD253" s="382">
        <f t="shared" si="77"/>
        <v>0</v>
      </c>
      <c r="AE253" s="382">
        <f t="shared" si="77"/>
        <v>0</v>
      </c>
      <c r="AF253" s="382">
        <f t="shared" si="68"/>
        <v>0</v>
      </c>
      <c r="AG253" s="382">
        <f t="shared" si="77"/>
        <v>0</v>
      </c>
      <c r="AH253" s="382">
        <f t="shared" si="77"/>
        <v>0</v>
      </c>
      <c r="AI253" s="382">
        <f t="shared" si="77"/>
        <v>0</v>
      </c>
    </row>
    <row r="254" spans="2:35" ht="15" customHeight="1" hidden="1">
      <c r="B254" s="391"/>
      <c r="C254" s="383">
        <f>'[1]GASTOS MATRIZ'!B250</f>
        <v>870</v>
      </c>
      <c r="D254" s="386"/>
      <c r="E254" s="387"/>
      <c r="F254" s="387"/>
      <c r="G254" s="403" t="str">
        <f>'[1]GASTOS MATRIZ'!F250</f>
        <v>Transferencias de Capital al Sector Privado</v>
      </c>
      <c r="H254" s="395">
        <f aca="true" t="shared" si="78" ref="H254:M254">H255</f>
        <v>0</v>
      </c>
      <c r="I254" s="395">
        <f t="shared" si="78"/>
        <v>0</v>
      </c>
      <c r="J254" s="395">
        <f t="shared" si="78"/>
        <v>0</v>
      </c>
      <c r="K254" s="395">
        <f t="shared" si="78"/>
        <v>0</v>
      </c>
      <c r="L254" s="395">
        <f t="shared" si="78"/>
        <v>0</v>
      </c>
      <c r="M254" s="395">
        <f t="shared" si="78"/>
        <v>0</v>
      </c>
      <c r="N254" s="395"/>
      <c r="O254" s="395">
        <f>SUM(E254:J254)</f>
        <v>0</v>
      </c>
      <c r="P254" s="395"/>
      <c r="Q254" s="395"/>
      <c r="R254" s="395"/>
      <c r="S254" s="395"/>
      <c r="T254" s="395">
        <f>SUM(K254:P254)</f>
        <v>0</v>
      </c>
      <c r="U254" s="395">
        <f>U255</f>
        <v>0</v>
      </c>
      <c r="V254" s="395">
        <f>V255</f>
        <v>0</v>
      </c>
      <c r="W254" s="395">
        <f>W255</f>
        <v>0</v>
      </c>
      <c r="X254" s="395">
        <f>X255</f>
        <v>0</v>
      </c>
      <c r="Y254" s="395">
        <f t="shared" si="73"/>
        <v>0</v>
      </c>
      <c r="Z254" s="395">
        <f t="shared" si="63"/>
        <v>0</v>
      </c>
      <c r="AA254" s="395">
        <f>AA255</f>
        <v>0</v>
      </c>
      <c r="AB254" s="395">
        <f>AB255</f>
        <v>0</v>
      </c>
      <c r="AC254" s="395">
        <f>AC255</f>
        <v>0</v>
      </c>
      <c r="AD254" s="395">
        <f>AD255</f>
        <v>0</v>
      </c>
      <c r="AE254" s="395">
        <f t="shared" si="75"/>
        <v>0</v>
      </c>
      <c r="AF254" s="395">
        <f t="shared" si="68"/>
        <v>0</v>
      </c>
      <c r="AG254" s="395">
        <f>AG255</f>
        <v>0</v>
      </c>
      <c r="AH254" s="395">
        <f>AH255</f>
        <v>0</v>
      </c>
      <c r="AI254" s="395">
        <f>AI255</f>
        <v>0</v>
      </c>
    </row>
    <row r="255" spans="2:35" ht="30" customHeight="1" hidden="1">
      <c r="B255" s="381"/>
      <c r="C255" s="381"/>
      <c r="D255" s="381">
        <f>'[1]GASTOS MATRIZ'!C251</f>
        <v>871</v>
      </c>
      <c r="E255" s="390"/>
      <c r="F255" s="390"/>
      <c r="G255" s="403" t="str">
        <f>'[1]GASTOS MATRIZ'!F251</f>
        <v>Transferencias de Capital al Sector Privado, Varias</v>
      </c>
      <c r="H255" s="395">
        <f aca="true" t="shared" si="79" ref="H255:M255">SUM(H256:H259)</f>
        <v>0</v>
      </c>
      <c r="I255" s="395">
        <f t="shared" si="79"/>
        <v>0</v>
      </c>
      <c r="J255" s="395">
        <f t="shared" si="79"/>
        <v>0</v>
      </c>
      <c r="K255" s="395">
        <f t="shared" si="79"/>
        <v>0</v>
      </c>
      <c r="L255" s="395">
        <f t="shared" si="79"/>
        <v>0</v>
      </c>
      <c r="M255" s="395">
        <f t="shared" si="79"/>
        <v>0</v>
      </c>
      <c r="N255" s="395"/>
      <c r="O255" s="395">
        <f>SUM(E255:J255)</f>
        <v>0</v>
      </c>
      <c r="P255" s="395"/>
      <c r="Q255" s="395"/>
      <c r="R255" s="395"/>
      <c r="S255" s="395"/>
      <c r="T255" s="395">
        <f>SUM(K255:P255)</f>
        <v>0</v>
      </c>
      <c r="U255" s="395">
        <f>SUM(U256:U259)</f>
        <v>0</v>
      </c>
      <c r="V255" s="395">
        <f>SUM(V256:V259)</f>
        <v>0</v>
      </c>
      <c r="W255" s="395">
        <f>SUM(W256:W259)</f>
        <v>0</v>
      </c>
      <c r="X255" s="395">
        <f>SUM(X256:X259)</f>
        <v>0</v>
      </c>
      <c r="Y255" s="395">
        <f t="shared" si="73"/>
        <v>0</v>
      </c>
      <c r="Z255" s="395">
        <f t="shared" si="63"/>
        <v>0</v>
      </c>
      <c r="AA255" s="395">
        <f>SUM(AA256:AA259)</f>
        <v>0</v>
      </c>
      <c r="AB255" s="395">
        <f>SUM(AB256:AB259)</f>
        <v>0</v>
      </c>
      <c r="AC255" s="395">
        <f>SUM(AC256:AC259)</f>
        <v>0</v>
      </c>
      <c r="AD255" s="395">
        <f>SUM(AD256:AD259)</f>
        <v>0</v>
      </c>
      <c r="AE255" s="395">
        <f t="shared" si="75"/>
        <v>0</v>
      </c>
      <c r="AF255" s="395">
        <f t="shared" si="68"/>
        <v>0</v>
      </c>
      <c r="AG255" s="395">
        <f>SUM(AG256:AG259)</f>
        <v>0</v>
      </c>
      <c r="AH255" s="395">
        <f>SUM(AH256:AH259)</f>
        <v>0</v>
      </c>
      <c r="AI255" s="395">
        <f>SUM(AI256:AI259)</f>
        <v>0</v>
      </c>
    </row>
    <row r="256" spans="2:35" ht="15" customHeight="1" hidden="1">
      <c r="B256" s="386"/>
      <c r="C256" s="386"/>
      <c r="D256" s="386">
        <f>'[1]GASTOS MATRIZ'!C252</f>
        <v>871</v>
      </c>
      <c r="E256" s="387" t="str">
        <f>'[1]GASTOS MATRIZ'!D252</f>
        <v>30</v>
      </c>
      <c r="F256" s="387" t="str">
        <f>'[1]GASTOS MATRIZ'!E252</f>
        <v>011</v>
      </c>
      <c r="G256" s="391" t="str">
        <f>'[1]GASTOS MATRIZ'!F252</f>
        <v>Transferencias de Capital al Sector Privado</v>
      </c>
      <c r="H256" s="389">
        <f>'[1]GASTOS MATRIZ'!G252</f>
        <v>0</v>
      </c>
      <c r="I256" s="389">
        <f>'[1]GASTOS MATRIZ'!H252</f>
        <v>0</v>
      </c>
      <c r="J256" s="389">
        <f>H256+I256</f>
        <v>0</v>
      </c>
      <c r="K256" s="389">
        <f>'[1]RESU X MES'!H242</f>
        <v>0</v>
      </c>
      <c r="L256" s="389">
        <f>'[1]RESU X MES'!H500</f>
        <v>0</v>
      </c>
      <c r="M256" s="389">
        <f>'[1]RESU X MES'!H759</f>
        <v>0</v>
      </c>
      <c r="N256" s="389"/>
      <c r="O256" s="389">
        <f>SUM(E256:J256)</f>
        <v>0</v>
      </c>
      <c r="P256" s="389"/>
      <c r="Q256" s="389"/>
      <c r="R256" s="389"/>
      <c r="S256" s="389"/>
      <c r="T256" s="389">
        <f>SUM(K256:P256)</f>
        <v>0</v>
      </c>
      <c r="U256" s="389">
        <f>'[1]RESU X MES'!H1283</f>
        <v>0</v>
      </c>
      <c r="V256" s="389">
        <f>'[1]RESU X MES'!H1545</f>
        <v>0</v>
      </c>
      <c r="W256" s="389">
        <f>'[1]RESU X MES'!H1808</f>
        <v>0</v>
      </c>
      <c r="X256" s="389">
        <f>'[1]RESU X MES'!H2069</f>
        <v>0</v>
      </c>
      <c r="Y256" s="389">
        <f t="shared" si="73"/>
        <v>0</v>
      </c>
      <c r="Z256" s="389">
        <f t="shared" si="63"/>
        <v>0</v>
      </c>
      <c r="AA256" s="389">
        <f>'[1]RESU X MES'!H2328</f>
        <v>0</v>
      </c>
      <c r="AB256" s="389">
        <f>'[1]RESU X MES'!H2590</f>
        <v>0</v>
      </c>
      <c r="AC256" s="389">
        <f>'[1]RESU X MES'!H2852</f>
        <v>0</v>
      </c>
      <c r="AD256" s="389">
        <f>'[1]RESU X MES'!H3116</f>
        <v>0</v>
      </c>
      <c r="AE256" s="389">
        <f t="shared" si="75"/>
        <v>0</v>
      </c>
      <c r="AF256" s="389">
        <f t="shared" si="68"/>
        <v>0</v>
      </c>
      <c r="AG256" s="389">
        <f>J256-AF256</f>
        <v>0</v>
      </c>
      <c r="AH256" s="389">
        <f>AF256-AI256</f>
        <v>0</v>
      </c>
      <c r="AI256" s="389">
        <f>'[1]RESU X MES'!N242+'[1]RESU X MES'!N500+'[1]RESU X MES'!N759+'[1]RESU X MES'!N1022+'[1]RESU X MES'!N1283+'[1]RESU X MES'!N1545+'[1]RESU X MES'!N1808+'[1]RESU X MES'!N2069+'[1]RESU X MES'!N2328+'[1]RESU X MES'!N2590+'[1]RESU X MES'!N2852+'[1]RESU X MES'!N3116</f>
        <v>0</v>
      </c>
    </row>
    <row r="257" spans="2:35" ht="15" customHeight="1" hidden="1">
      <c r="B257" s="386"/>
      <c r="C257" s="386"/>
      <c r="D257" s="386">
        <f>'[1]GASTOS MATRIZ'!C253</f>
        <v>871</v>
      </c>
      <c r="E257" s="387" t="str">
        <f>'[1]GASTOS MATRIZ'!D253</f>
        <v>30</v>
      </c>
      <c r="F257" s="387" t="str">
        <f>'[1]GASTOS MATRIZ'!E253</f>
        <v>011</v>
      </c>
      <c r="G257" s="391" t="str">
        <f>'[1]GASTOS MATRIZ'!F253</f>
        <v>Juntas Comunales y Vecinales</v>
      </c>
      <c r="H257" s="389">
        <f>'[1]GASTOS MATRIZ'!G253</f>
        <v>0</v>
      </c>
      <c r="I257" s="389">
        <f>'[1]GASTOS MATRIZ'!H253</f>
        <v>0</v>
      </c>
      <c r="J257" s="389">
        <f>H257+I257</f>
        <v>0</v>
      </c>
      <c r="K257" s="389">
        <f>'[1]RESU X MES'!H243</f>
        <v>0</v>
      </c>
      <c r="L257" s="389">
        <f>'[1]RESU X MES'!H501</f>
        <v>0</v>
      </c>
      <c r="M257" s="389">
        <f>'[1]RESU X MES'!H760</f>
        <v>0</v>
      </c>
      <c r="N257" s="389"/>
      <c r="O257" s="389">
        <f>SUM(E257:J257)</f>
        <v>0</v>
      </c>
      <c r="P257" s="389"/>
      <c r="Q257" s="389"/>
      <c r="R257" s="389"/>
      <c r="S257" s="389"/>
      <c r="T257" s="389">
        <f>SUM(K257:P257)</f>
        <v>0</v>
      </c>
      <c r="U257" s="389">
        <f>'[1]RESU X MES'!H1284</f>
        <v>0</v>
      </c>
      <c r="V257" s="389">
        <f>'[1]RESU X MES'!H1546</f>
        <v>0</v>
      </c>
      <c r="W257" s="389">
        <f>'[1]RESU X MES'!H1809</f>
        <v>0</v>
      </c>
      <c r="X257" s="389">
        <f>'[1]RESU X MES'!H2070</f>
        <v>0</v>
      </c>
      <c r="Y257" s="389">
        <f>SUM(U257:X257)</f>
        <v>0</v>
      </c>
      <c r="Z257" s="389">
        <f>T257+Y257</f>
        <v>0</v>
      </c>
      <c r="AA257" s="389">
        <f>'[1]RESU X MES'!H2329</f>
        <v>0</v>
      </c>
      <c r="AB257" s="389">
        <f>'[1]RESU X MES'!H2591</f>
        <v>0</v>
      </c>
      <c r="AC257" s="389">
        <f>'[1]RESU X MES'!H2853</f>
        <v>0</v>
      </c>
      <c r="AD257" s="389">
        <f>'[1]RESU X MES'!H3117</f>
        <v>0</v>
      </c>
      <c r="AE257" s="389">
        <f>SUM(AA257:AD257)</f>
        <v>0</v>
      </c>
      <c r="AF257" s="389">
        <f t="shared" si="68"/>
        <v>0</v>
      </c>
      <c r="AG257" s="389">
        <f>J257-AF257</f>
        <v>0</v>
      </c>
      <c r="AH257" s="389">
        <f>AF257-AI257</f>
        <v>0</v>
      </c>
      <c r="AI257" s="389">
        <f>'[1]RESU X MES'!N243+'[1]RESU X MES'!N501+'[1]RESU X MES'!N760+'[1]RESU X MES'!N1023+'[1]RESU X MES'!N1284+'[1]RESU X MES'!N1546+'[1]RESU X MES'!N1809+'[1]RESU X MES'!N2070+'[1]RESU X MES'!N2329+'[1]RESU X MES'!N2591+'[1]RESU X MES'!N2853+'[1]RESU X MES'!N3117</f>
        <v>0</v>
      </c>
    </row>
    <row r="258" spans="2:35" ht="15" customHeight="1" hidden="1">
      <c r="B258" s="386"/>
      <c r="C258" s="386"/>
      <c r="D258" s="386"/>
      <c r="E258" s="387"/>
      <c r="F258" s="387"/>
      <c r="G258" s="391"/>
      <c r="H258" s="389"/>
      <c r="I258" s="389"/>
      <c r="J258" s="389"/>
      <c r="K258" s="389"/>
      <c r="L258" s="389"/>
      <c r="M258" s="389"/>
      <c r="N258" s="389"/>
      <c r="O258" s="389"/>
      <c r="P258" s="389"/>
      <c r="Q258" s="389"/>
      <c r="R258" s="389"/>
      <c r="S258" s="389"/>
      <c r="T258" s="389"/>
      <c r="U258" s="389"/>
      <c r="V258" s="389"/>
      <c r="W258" s="389"/>
      <c r="X258" s="389"/>
      <c r="Y258" s="389"/>
      <c r="Z258" s="389">
        <f t="shared" si="63"/>
        <v>0</v>
      </c>
      <c r="AA258" s="389"/>
      <c r="AB258" s="389"/>
      <c r="AC258" s="389"/>
      <c r="AD258" s="389"/>
      <c r="AE258" s="389"/>
      <c r="AF258" s="389">
        <f t="shared" si="68"/>
        <v>0</v>
      </c>
      <c r="AG258" s="389"/>
      <c r="AH258" s="389"/>
      <c r="AI258" s="389"/>
    </row>
    <row r="259" spans="2:35" ht="15" customHeight="1" hidden="1">
      <c r="B259" s="386"/>
      <c r="C259" s="386"/>
      <c r="D259" s="386"/>
      <c r="E259" s="387"/>
      <c r="F259" s="387"/>
      <c r="G259" s="391"/>
      <c r="H259" s="389"/>
      <c r="I259" s="389"/>
      <c r="J259" s="389"/>
      <c r="K259" s="389"/>
      <c r="L259" s="389"/>
      <c r="M259" s="389"/>
      <c r="N259" s="389"/>
      <c r="O259" s="389"/>
      <c r="P259" s="389"/>
      <c r="Q259" s="389"/>
      <c r="R259" s="389"/>
      <c r="S259" s="389"/>
      <c r="T259" s="389"/>
      <c r="U259" s="389"/>
      <c r="V259" s="389"/>
      <c r="W259" s="389"/>
      <c r="X259" s="389"/>
      <c r="Y259" s="389"/>
      <c r="Z259" s="389">
        <f t="shared" si="63"/>
        <v>0</v>
      </c>
      <c r="AA259" s="389"/>
      <c r="AB259" s="389"/>
      <c r="AC259" s="389"/>
      <c r="AD259" s="389"/>
      <c r="AE259" s="389"/>
      <c r="AF259" s="389">
        <f t="shared" si="68"/>
        <v>0</v>
      </c>
      <c r="AG259" s="389"/>
      <c r="AH259" s="389"/>
      <c r="AI259" s="389"/>
    </row>
    <row r="260" spans="2:35" ht="15" customHeight="1" hidden="1">
      <c r="B260" s="386"/>
      <c r="C260" s="386"/>
      <c r="D260" s="386"/>
      <c r="E260" s="387"/>
      <c r="F260" s="387"/>
      <c r="G260" s="391"/>
      <c r="H260" s="389"/>
      <c r="I260" s="389"/>
      <c r="J260" s="389"/>
      <c r="K260" s="389"/>
      <c r="L260" s="389"/>
      <c r="M260" s="389"/>
      <c r="N260" s="389"/>
      <c r="O260" s="389"/>
      <c r="P260" s="389"/>
      <c r="Q260" s="389"/>
      <c r="R260" s="389"/>
      <c r="S260" s="389"/>
      <c r="T260" s="389"/>
      <c r="U260" s="389"/>
      <c r="V260" s="389"/>
      <c r="W260" s="389"/>
      <c r="X260" s="389"/>
      <c r="Y260" s="389"/>
      <c r="Z260" s="389">
        <f t="shared" si="63"/>
        <v>0</v>
      </c>
      <c r="AA260" s="389"/>
      <c r="AB260" s="389"/>
      <c r="AC260" s="389"/>
      <c r="AD260" s="389"/>
      <c r="AE260" s="389"/>
      <c r="AF260" s="389">
        <f t="shared" si="68"/>
        <v>0</v>
      </c>
      <c r="AG260" s="389"/>
      <c r="AH260" s="389"/>
      <c r="AI260" s="389"/>
    </row>
    <row r="261" spans="2:35" ht="28.5">
      <c r="B261" s="391"/>
      <c r="C261" s="383">
        <f>'[1]GASTOS MATRIZ'!B257</f>
        <v>890</v>
      </c>
      <c r="D261" s="386"/>
      <c r="E261" s="387"/>
      <c r="F261" s="387"/>
      <c r="G261" s="403" t="str">
        <f>'[1]GASTOS MATRIZ'!F257</f>
        <v>Otras Transferencias de Capital al Sector Público o Privado</v>
      </c>
      <c r="H261" s="395">
        <f aca="true" t="shared" si="80" ref="H261:M261">H262</f>
        <v>0</v>
      </c>
      <c r="I261" s="395">
        <f t="shared" si="80"/>
        <v>0</v>
      </c>
      <c r="J261" s="395">
        <f t="shared" si="80"/>
        <v>0</v>
      </c>
      <c r="K261" s="395">
        <f t="shared" si="80"/>
        <v>0</v>
      </c>
      <c r="L261" s="395">
        <f t="shared" si="80"/>
        <v>0</v>
      </c>
      <c r="M261" s="395">
        <f t="shared" si="80"/>
        <v>0</v>
      </c>
      <c r="N261" s="395">
        <v>0</v>
      </c>
      <c r="O261" s="395">
        <f>SUM(E261:J261)</f>
        <v>0</v>
      </c>
      <c r="P261" s="395">
        <v>0</v>
      </c>
      <c r="Q261" s="395">
        <v>0</v>
      </c>
      <c r="R261" s="395"/>
      <c r="S261" s="395"/>
      <c r="T261" s="395">
        <f>SUM(K261:P261)</f>
        <v>0</v>
      </c>
      <c r="U261" s="395">
        <f>U262</f>
        <v>0</v>
      </c>
      <c r="V261" s="395">
        <f>V262</f>
        <v>0</v>
      </c>
      <c r="W261" s="395">
        <f>W262</f>
        <v>0</v>
      </c>
      <c r="X261" s="395">
        <f>X262</f>
        <v>0</v>
      </c>
      <c r="Y261" s="395">
        <f t="shared" si="73"/>
        <v>0</v>
      </c>
      <c r="Z261" s="395">
        <f t="shared" si="63"/>
        <v>0</v>
      </c>
      <c r="AA261" s="395">
        <f>AA262</f>
        <v>0</v>
      </c>
      <c r="AB261" s="395">
        <f>AB262</f>
        <v>0</v>
      </c>
      <c r="AC261" s="395">
        <f>AC262</f>
        <v>0</v>
      </c>
      <c r="AD261" s="395">
        <f>AD262</f>
        <v>0</v>
      </c>
      <c r="AE261" s="395">
        <f t="shared" si="75"/>
        <v>0</v>
      </c>
      <c r="AF261" s="395">
        <f t="shared" si="68"/>
        <v>0</v>
      </c>
      <c r="AG261" s="395">
        <f>AG262</f>
        <v>0</v>
      </c>
      <c r="AH261" s="395">
        <f>AH262</f>
        <v>0</v>
      </c>
      <c r="AI261" s="395">
        <f>AI262</f>
        <v>0</v>
      </c>
    </row>
    <row r="262" spans="2:35" ht="14.25">
      <c r="B262" s="386"/>
      <c r="C262" s="386"/>
      <c r="D262" s="386">
        <f>'[1]GASTOS MATRIZ'!C258</f>
        <v>894</v>
      </c>
      <c r="E262" s="387" t="str">
        <f>'[1]GASTOS MATRIZ'!D258</f>
        <v>30</v>
      </c>
      <c r="F262" s="387" t="str">
        <f>'[1]GASTOS MATRIZ'!E258</f>
        <v>011</v>
      </c>
      <c r="G262" s="391" t="str">
        <f>'[1]GASTOS MATRIZ'!F258</f>
        <v>Otras Transferencias de Capital al Sector Público</v>
      </c>
      <c r="H262" s="389">
        <f>'[1]GASTOS MATRIZ'!G258</f>
        <v>0</v>
      </c>
      <c r="I262" s="389">
        <f>'[1]GASTOS MATRIZ'!H258</f>
        <v>0</v>
      </c>
      <c r="J262" s="389">
        <f>H262+I262</f>
        <v>0</v>
      </c>
      <c r="K262" s="389">
        <f>'[1]RESU X MES'!H248</f>
        <v>0</v>
      </c>
      <c r="L262" s="389">
        <f>'[1]RESU X MES'!H506</f>
        <v>0</v>
      </c>
      <c r="M262" s="389">
        <f>'[1]RESU X MES'!H765</f>
        <v>0</v>
      </c>
      <c r="N262" s="389">
        <v>0</v>
      </c>
      <c r="O262" s="389">
        <f>SUM(E262:J262)</f>
        <v>0</v>
      </c>
      <c r="P262" s="389">
        <v>0</v>
      </c>
      <c r="Q262" s="389">
        <v>0</v>
      </c>
      <c r="R262" s="389"/>
      <c r="S262" s="389"/>
      <c r="T262" s="389">
        <f>SUM(K262:P262)</f>
        <v>0</v>
      </c>
      <c r="U262" s="389">
        <f>'[1]RESU X MES'!H1289</f>
        <v>0</v>
      </c>
      <c r="V262" s="389">
        <f>'[1]RESU X MES'!H1551</f>
        <v>0</v>
      </c>
      <c r="W262" s="389">
        <f>'[1]RESU X MES'!H1814</f>
        <v>0</v>
      </c>
      <c r="X262" s="389">
        <f>'[1]RESU X MES'!H2075</f>
        <v>0</v>
      </c>
      <c r="Y262" s="389">
        <f t="shared" si="73"/>
        <v>0</v>
      </c>
      <c r="Z262" s="389">
        <f t="shared" si="63"/>
        <v>0</v>
      </c>
      <c r="AA262" s="389">
        <f>'[1]RESU X MES'!H2334</f>
        <v>0</v>
      </c>
      <c r="AB262" s="389">
        <f>'[1]RESU X MES'!H2596</f>
        <v>0</v>
      </c>
      <c r="AC262" s="389">
        <f>'[1]RESU X MES'!H2858</f>
        <v>0</v>
      </c>
      <c r="AD262" s="389">
        <f>'[1]RESU X MES'!H3122</f>
        <v>0</v>
      </c>
      <c r="AE262" s="389">
        <f t="shared" si="75"/>
        <v>0</v>
      </c>
      <c r="AF262" s="389">
        <f t="shared" si="68"/>
        <v>0</v>
      </c>
      <c r="AG262" s="389">
        <f>J262-AF262</f>
        <v>0</v>
      </c>
      <c r="AH262" s="389">
        <f>AF262-AI262</f>
        <v>0</v>
      </c>
      <c r="AI262" s="389">
        <f>'[1]RESU X MES'!N248+'[1]RESU X MES'!N506+'[1]RESU X MES'!N765+'[1]RESU X MES'!N1028+'[1]RESU X MES'!N1289+'[1]RESU X MES'!N1551+'[1]RESU X MES'!N1814+'[1]RESU X MES'!N2075+'[1]RESU X MES'!N2334+'[1]RESU X MES'!N2596+'[1]RESU X MES'!N2858+'[1]RESU X MES'!N3122</f>
        <v>0</v>
      </c>
    </row>
    <row r="263" spans="2:35" ht="14.25">
      <c r="B263" s="386"/>
      <c r="C263" s="386"/>
      <c r="D263" s="386"/>
      <c r="E263" s="387"/>
      <c r="F263" s="387"/>
      <c r="G263" s="391"/>
      <c r="H263" s="389"/>
      <c r="I263" s="389"/>
      <c r="J263" s="389"/>
      <c r="K263" s="389"/>
      <c r="L263" s="389"/>
      <c r="M263" s="389"/>
      <c r="N263" s="389"/>
      <c r="O263" s="389"/>
      <c r="P263" s="389"/>
      <c r="Q263" s="389"/>
      <c r="R263" s="389"/>
      <c r="S263" s="389"/>
      <c r="T263" s="389"/>
      <c r="U263" s="389"/>
      <c r="V263" s="389"/>
      <c r="W263" s="389"/>
      <c r="X263" s="389"/>
      <c r="Y263" s="389"/>
      <c r="Z263" s="389">
        <f t="shared" si="63"/>
        <v>0</v>
      </c>
      <c r="AA263" s="389"/>
      <c r="AB263" s="389"/>
      <c r="AC263" s="389"/>
      <c r="AD263" s="389"/>
      <c r="AE263" s="389"/>
      <c r="AF263" s="389">
        <f t="shared" si="68"/>
        <v>0</v>
      </c>
      <c r="AG263" s="389"/>
      <c r="AH263" s="389"/>
      <c r="AI263" s="389"/>
    </row>
    <row r="264" spans="2:35" ht="14.25">
      <c r="B264" s="381">
        <f>'[1]GASTOS MATRIZ'!A260</f>
        <v>900</v>
      </c>
      <c r="C264" s="386"/>
      <c r="D264" s="386"/>
      <c r="E264" s="387"/>
      <c r="F264" s="387"/>
      <c r="G264" s="383" t="str">
        <f>'[1]GASTOS MATRIZ'!F260</f>
        <v>OTROS GASTOS</v>
      </c>
      <c r="H264" s="382">
        <f aca="true" t="shared" si="81" ref="H264:AI264">H265</f>
        <v>168000000</v>
      </c>
      <c r="I264" s="382">
        <f t="shared" si="81"/>
        <v>-78285121</v>
      </c>
      <c r="J264" s="382">
        <f t="shared" si="81"/>
        <v>89714879</v>
      </c>
      <c r="K264" s="382">
        <f t="shared" si="81"/>
        <v>0</v>
      </c>
      <c r="L264" s="382">
        <f t="shared" si="81"/>
        <v>0</v>
      </c>
      <c r="M264" s="382">
        <f t="shared" si="81"/>
        <v>0</v>
      </c>
      <c r="N264" s="382">
        <f t="shared" si="81"/>
        <v>0</v>
      </c>
      <c r="O264" s="382">
        <f t="shared" si="81"/>
        <v>0</v>
      </c>
      <c r="P264" s="382">
        <f t="shared" si="81"/>
        <v>0</v>
      </c>
      <c r="Q264" s="382">
        <f t="shared" si="81"/>
        <v>0</v>
      </c>
      <c r="R264" s="382">
        <f t="shared" si="81"/>
        <v>0</v>
      </c>
      <c r="S264" s="382">
        <f t="shared" si="81"/>
        <v>0</v>
      </c>
      <c r="T264" s="382">
        <f t="shared" si="81"/>
        <v>0</v>
      </c>
      <c r="U264" s="382">
        <f t="shared" si="81"/>
        <v>0</v>
      </c>
      <c r="V264" s="382">
        <f t="shared" si="81"/>
        <v>0</v>
      </c>
      <c r="W264" s="382">
        <f t="shared" si="81"/>
        <v>0</v>
      </c>
      <c r="X264" s="382">
        <f t="shared" si="81"/>
        <v>0</v>
      </c>
      <c r="Y264" s="382">
        <f t="shared" si="81"/>
        <v>0</v>
      </c>
      <c r="Z264" s="382">
        <f t="shared" si="81"/>
        <v>0</v>
      </c>
      <c r="AA264" s="382">
        <f t="shared" si="81"/>
        <v>0</v>
      </c>
      <c r="AB264" s="382">
        <f t="shared" si="81"/>
        <v>0</v>
      </c>
      <c r="AC264" s="382">
        <f t="shared" si="81"/>
        <v>0</v>
      </c>
      <c r="AD264" s="382">
        <f t="shared" si="81"/>
        <v>0</v>
      </c>
      <c r="AE264" s="382">
        <f t="shared" si="81"/>
        <v>0</v>
      </c>
      <c r="AF264" s="382">
        <f t="shared" si="68"/>
        <v>0</v>
      </c>
      <c r="AG264" s="382">
        <f t="shared" si="81"/>
        <v>89714879</v>
      </c>
      <c r="AH264" s="382">
        <f t="shared" si="81"/>
        <v>0</v>
      </c>
      <c r="AI264" s="382">
        <f t="shared" si="81"/>
        <v>0</v>
      </c>
    </row>
    <row r="265" spans="2:35" ht="28.5">
      <c r="B265" s="386"/>
      <c r="C265" s="381">
        <f>'[1]GASTOS MATRIZ'!B261</f>
        <v>980</v>
      </c>
      <c r="D265" s="386"/>
      <c r="E265" s="387"/>
      <c r="F265" s="387"/>
      <c r="G265" s="403" t="str">
        <f>'[1]GASTOS MATRIZ'!F261</f>
        <v>Deudas Pend. de Pago de Gastos de Capital de Ejerc. Anter.</v>
      </c>
      <c r="H265" s="395">
        <f>+H266</f>
        <v>168000000</v>
      </c>
      <c r="I265" s="395">
        <f aca="true" t="shared" si="82" ref="I265:AI265">+I266</f>
        <v>-78285121</v>
      </c>
      <c r="J265" s="395">
        <f t="shared" si="82"/>
        <v>89714879</v>
      </c>
      <c r="K265" s="395">
        <f t="shared" si="82"/>
        <v>0</v>
      </c>
      <c r="L265" s="395">
        <f t="shared" si="82"/>
        <v>0</v>
      </c>
      <c r="M265" s="395">
        <f t="shared" si="82"/>
        <v>0</v>
      </c>
      <c r="N265" s="395">
        <f t="shared" si="82"/>
        <v>0</v>
      </c>
      <c r="O265" s="395">
        <f t="shared" si="82"/>
        <v>0</v>
      </c>
      <c r="P265" s="395">
        <f t="shared" si="82"/>
        <v>0</v>
      </c>
      <c r="Q265" s="395">
        <f t="shared" si="82"/>
        <v>0</v>
      </c>
      <c r="R265" s="395">
        <f t="shared" si="82"/>
        <v>0</v>
      </c>
      <c r="S265" s="395">
        <f t="shared" si="82"/>
        <v>0</v>
      </c>
      <c r="T265" s="395">
        <f t="shared" si="82"/>
        <v>0</v>
      </c>
      <c r="U265" s="395">
        <f t="shared" si="82"/>
        <v>0</v>
      </c>
      <c r="V265" s="395">
        <f t="shared" si="82"/>
        <v>0</v>
      </c>
      <c r="W265" s="395">
        <f t="shared" si="82"/>
        <v>0</v>
      </c>
      <c r="X265" s="395">
        <f t="shared" si="82"/>
        <v>0</v>
      </c>
      <c r="Y265" s="395">
        <f t="shared" si="82"/>
        <v>0</v>
      </c>
      <c r="Z265" s="395">
        <f t="shared" si="82"/>
        <v>0</v>
      </c>
      <c r="AA265" s="395">
        <f t="shared" si="82"/>
        <v>0</v>
      </c>
      <c r="AB265" s="395">
        <f t="shared" si="82"/>
        <v>0</v>
      </c>
      <c r="AC265" s="395">
        <f t="shared" si="82"/>
        <v>0</v>
      </c>
      <c r="AD265" s="395">
        <f t="shared" si="82"/>
        <v>0</v>
      </c>
      <c r="AE265" s="395">
        <f t="shared" si="82"/>
        <v>0</v>
      </c>
      <c r="AF265" s="395">
        <f t="shared" si="68"/>
        <v>0</v>
      </c>
      <c r="AG265" s="395">
        <f t="shared" si="82"/>
        <v>89714879</v>
      </c>
      <c r="AH265" s="395">
        <f t="shared" si="82"/>
        <v>0</v>
      </c>
      <c r="AI265" s="395">
        <f t="shared" si="82"/>
        <v>0</v>
      </c>
    </row>
    <row r="266" spans="2:35" ht="14.25">
      <c r="B266" s="386"/>
      <c r="C266" s="386"/>
      <c r="D266" s="386">
        <f>'[1]GASTOS MATRIZ'!C262</f>
        <v>980</v>
      </c>
      <c r="E266" s="387" t="str">
        <f>'[1]GASTOS MATRIZ'!D262</f>
        <v>30</v>
      </c>
      <c r="F266" s="387" t="str">
        <f>'[1]GASTOS MATRIZ'!E262</f>
        <v>011</v>
      </c>
      <c r="G266" s="391" t="str">
        <f>'[1]GASTOS MATRIZ'!F262</f>
        <v>Deudas Pend. de Pago de Gastos de Capital de Ejercicios Anter.</v>
      </c>
      <c r="H266" s="389">
        <f>'[1]GASTOS MATRIZ'!G262</f>
        <v>168000000</v>
      </c>
      <c r="I266" s="389">
        <f>'[1]GASTOS MATRIZ'!H262</f>
        <v>-78285121</v>
      </c>
      <c r="J266" s="389">
        <f>H266+I266</f>
        <v>89714879</v>
      </c>
      <c r="K266" s="389">
        <f>'[1]RESU X MES'!H252</f>
        <v>0</v>
      </c>
      <c r="L266" s="389">
        <f>'[1]RESU X MES'!H510</f>
        <v>0</v>
      </c>
      <c r="M266" s="389">
        <f>'[1]RESU X MES'!H769</f>
        <v>0</v>
      </c>
      <c r="N266" s="389">
        <v>0</v>
      </c>
      <c r="O266" s="389">
        <f>+K266+L266+M266+N266</f>
        <v>0</v>
      </c>
      <c r="P266" s="389">
        <v>0</v>
      </c>
      <c r="Q266" s="389">
        <v>0</v>
      </c>
      <c r="R266" s="389"/>
      <c r="S266" s="389"/>
      <c r="T266" s="389">
        <f>SUM(K266:P266)</f>
        <v>0</v>
      </c>
      <c r="U266" s="389">
        <f>'[1]RESU X MES'!H1293</f>
        <v>0</v>
      </c>
      <c r="V266" s="389">
        <f>'[1]RESU X MES'!H1555</f>
        <v>0</v>
      </c>
      <c r="W266" s="389">
        <f>'[1]RESU X MES'!H1818</f>
        <v>0</v>
      </c>
      <c r="X266" s="389">
        <f>'[1]RESU X MES'!H2079</f>
        <v>0</v>
      </c>
      <c r="Y266" s="389">
        <f t="shared" si="73"/>
        <v>0</v>
      </c>
      <c r="Z266" s="389">
        <f t="shared" si="63"/>
        <v>0</v>
      </c>
      <c r="AA266" s="389">
        <f>'[1]RESU X MES'!H2338</f>
        <v>0</v>
      </c>
      <c r="AB266" s="389">
        <f>'[1]RESU X MES'!H2600</f>
        <v>0</v>
      </c>
      <c r="AC266" s="389">
        <f>'[1]RESU X MES'!H2862</f>
        <v>0</v>
      </c>
      <c r="AD266" s="389">
        <f>'[1]RESU X MES'!H3126</f>
        <v>0</v>
      </c>
      <c r="AE266" s="389">
        <f t="shared" si="75"/>
        <v>0</v>
      </c>
      <c r="AF266" s="389">
        <f t="shared" si="68"/>
        <v>0</v>
      </c>
      <c r="AG266" s="389">
        <f>J266-AF266</f>
        <v>89714879</v>
      </c>
      <c r="AH266" s="389">
        <f>AF266-AI266</f>
        <v>0</v>
      </c>
      <c r="AI266" s="389">
        <f>'[1]RESU X MES'!N252+'[1]RESU X MES'!N510+'[1]RESU X MES'!N769+'[1]RESU X MES'!N1032+'[1]RESU X MES'!N1293+'[1]RESU X MES'!N1555+'[1]RESU X MES'!N1818+'[1]RESU X MES'!N2079+'[1]RESU X MES'!N2338+'[1]RESU X MES'!N2600+'[1]RESU X MES'!N2862+'[1]RESU X MES'!N3126</f>
        <v>0</v>
      </c>
    </row>
    <row r="267" spans="2:35" ht="15" customHeight="1" hidden="1">
      <c r="B267" s="386"/>
      <c r="C267" s="386"/>
      <c r="D267" s="386"/>
      <c r="E267" s="387"/>
      <c r="F267" s="387"/>
      <c r="G267" s="391"/>
      <c r="H267" s="389"/>
      <c r="I267" s="389"/>
      <c r="J267" s="389"/>
      <c r="K267" s="389"/>
      <c r="L267" s="389"/>
      <c r="M267" s="389"/>
      <c r="N267" s="389"/>
      <c r="O267" s="389"/>
      <c r="P267" s="389"/>
      <c r="Q267" s="389"/>
      <c r="R267" s="389"/>
      <c r="S267" s="389"/>
      <c r="T267" s="389"/>
      <c r="U267" s="389"/>
      <c r="V267" s="389"/>
      <c r="W267" s="389"/>
      <c r="X267" s="389"/>
      <c r="Y267" s="389"/>
      <c r="Z267" s="389">
        <f t="shared" si="63"/>
        <v>0</v>
      </c>
      <c r="AA267" s="389"/>
      <c r="AB267" s="389"/>
      <c r="AC267" s="389"/>
      <c r="AD267" s="389"/>
      <c r="AE267" s="389"/>
      <c r="AF267" s="389">
        <f t="shared" si="68"/>
        <v>0</v>
      </c>
      <c r="AG267" s="389"/>
      <c r="AH267" s="389"/>
      <c r="AI267" s="389"/>
    </row>
    <row r="268" spans="2:35" ht="15" customHeight="1" hidden="1">
      <c r="B268" s="386"/>
      <c r="C268" s="386"/>
      <c r="D268" s="386"/>
      <c r="E268" s="387"/>
      <c r="F268" s="387"/>
      <c r="G268" s="391"/>
      <c r="H268" s="389"/>
      <c r="I268" s="389"/>
      <c r="J268" s="389"/>
      <c r="K268" s="389"/>
      <c r="L268" s="389"/>
      <c r="M268" s="389"/>
      <c r="N268" s="389"/>
      <c r="O268" s="389"/>
      <c r="P268" s="389"/>
      <c r="Q268" s="389"/>
      <c r="R268" s="389"/>
      <c r="S268" s="389"/>
      <c r="T268" s="389"/>
      <c r="U268" s="389"/>
      <c r="V268" s="389"/>
      <c r="W268" s="389"/>
      <c r="X268" s="389"/>
      <c r="Y268" s="389"/>
      <c r="Z268" s="389">
        <f t="shared" si="63"/>
        <v>0</v>
      </c>
      <c r="AA268" s="389"/>
      <c r="AB268" s="389"/>
      <c r="AC268" s="389"/>
      <c r="AD268" s="389"/>
      <c r="AE268" s="389"/>
      <c r="AF268" s="389">
        <f t="shared" si="68"/>
        <v>0</v>
      </c>
      <c r="AG268" s="389"/>
      <c r="AH268" s="389"/>
      <c r="AI268" s="389"/>
    </row>
    <row r="269" spans="2:35" ht="14.25">
      <c r="B269" s="386"/>
      <c r="C269" s="386"/>
      <c r="D269" s="386"/>
      <c r="E269" s="387"/>
      <c r="F269" s="387"/>
      <c r="G269" s="391"/>
      <c r="H269" s="389"/>
      <c r="I269" s="389"/>
      <c r="J269" s="389"/>
      <c r="K269" s="389"/>
      <c r="L269" s="389"/>
      <c r="M269" s="389"/>
      <c r="N269" s="389"/>
      <c r="O269" s="389"/>
      <c r="P269" s="389"/>
      <c r="Q269" s="389"/>
      <c r="R269" s="389"/>
      <c r="S269" s="389"/>
      <c r="T269" s="389"/>
      <c r="U269" s="389"/>
      <c r="V269" s="389"/>
      <c r="W269" s="389"/>
      <c r="X269" s="389"/>
      <c r="Y269" s="389"/>
      <c r="Z269" s="389">
        <f t="shared" si="63"/>
        <v>0</v>
      </c>
      <c r="AA269" s="389"/>
      <c r="AB269" s="389"/>
      <c r="AC269" s="389"/>
      <c r="AD269" s="389"/>
      <c r="AE269" s="389"/>
      <c r="AF269" s="389">
        <f t="shared" si="68"/>
        <v>0</v>
      </c>
      <c r="AG269" s="389"/>
      <c r="AH269" s="389"/>
      <c r="AI269" s="389"/>
    </row>
    <row r="270" spans="2:35" ht="14.25">
      <c r="B270" s="381"/>
      <c r="C270" s="381"/>
      <c r="D270" s="381"/>
      <c r="E270" s="381"/>
      <c r="F270" s="381"/>
      <c r="G270" s="381" t="s">
        <v>17</v>
      </c>
      <c r="H270" s="382">
        <f>H21+H204</f>
        <v>1453110226</v>
      </c>
      <c r="I270" s="382">
        <f aca="true" t="shared" si="83" ref="I270:AI270">I21+I204</f>
        <v>-183884977</v>
      </c>
      <c r="J270" s="382">
        <f t="shared" si="83"/>
        <v>1269225249</v>
      </c>
      <c r="K270" s="382">
        <f t="shared" si="83"/>
        <v>0</v>
      </c>
      <c r="L270" s="382">
        <f t="shared" si="83"/>
        <v>4603333</v>
      </c>
      <c r="M270" s="382">
        <f t="shared" si="83"/>
        <v>6500000</v>
      </c>
      <c r="N270" s="382">
        <f t="shared" si="83"/>
        <v>156316000</v>
      </c>
      <c r="O270" s="382">
        <f t="shared" si="83"/>
        <v>167419333</v>
      </c>
      <c r="P270" s="382">
        <f t="shared" si="83"/>
        <v>84800000</v>
      </c>
      <c r="Q270" s="382">
        <f t="shared" si="83"/>
        <v>50000000</v>
      </c>
      <c r="R270" s="382">
        <f t="shared" si="83"/>
        <v>19800000</v>
      </c>
      <c r="S270" s="382">
        <f t="shared" si="83"/>
        <v>39900000</v>
      </c>
      <c r="T270" s="382">
        <f t="shared" si="83"/>
        <v>419638666</v>
      </c>
      <c r="U270" s="382">
        <f t="shared" si="83"/>
        <v>0</v>
      </c>
      <c r="V270" s="382">
        <f t="shared" si="83"/>
        <v>0</v>
      </c>
      <c r="W270" s="382">
        <f t="shared" si="83"/>
        <v>0</v>
      </c>
      <c r="X270" s="382">
        <f t="shared" si="83"/>
        <v>0</v>
      </c>
      <c r="Y270" s="382">
        <f t="shared" si="83"/>
        <v>0</v>
      </c>
      <c r="Z270" s="382">
        <f t="shared" si="83"/>
        <v>419638666</v>
      </c>
      <c r="AA270" s="382">
        <f t="shared" si="83"/>
        <v>0</v>
      </c>
      <c r="AB270" s="382">
        <f t="shared" si="83"/>
        <v>0</v>
      </c>
      <c r="AC270" s="382">
        <f t="shared" si="83"/>
        <v>0</v>
      </c>
      <c r="AD270" s="382">
        <f t="shared" si="83"/>
        <v>0</v>
      </c>
      <c r="AE270" s="382">
        <f t="shared" si="83"/>
        <v>0</v>
      </c>
      <c r="AF270" s="382">
        <f t="shared" si="83"/>
        <v>361919333</v>
      </c>
      <c r="AG270" s="382">
        <f t="shared" si="83"/>
        <v>907305916</v>
      </c>
      <c r="AH270" s="382">
        <f t="shared" si="83"/>
        <v>361919333</v>
      </c>
      <c r="AI270" s="382">
        <f t="shared" si="83"/>
        <v>0</v>
      </c>
    </row>
    <row r="271" spans="8:32" s="445" customFormat="1" ht="14.25">
      <c r="H271" s="445">
        <v>1453110226</v>
      </c>
      <c r="I271" s="445">
        <v>-183884977</v>
      </c>
      <c r="J271" s="445">
        <v>1269225249</v>
      </c>
      <c r="K271" s="445">
        <v>0</v>
      </c>
      <c r="L271" s="445">
        <v>4603333</v>
      </c>
      <c r="M271" s="445">
        <v>6500000</v>
      </c>
      <c r="N271" s="445">
        <v>156316000</v>
      </c>
      <c r="O271" s="445">
        <f>+L271+M271+N271</f>
        <v>167419333</v>
      </c>
      <c r="P271" s="445">
        <v>84800000</v>
      </c>
      <c r="Q271" s="445">
        <v>50000000</v>
      </c>
      <c r="R271" s="445">
        <f>9900000+9900000</f>
        <v>19800000</v>
      </c>
      <c r="S271" s="445">
        <f>30000000+9900000</f>
        <v>39900000</v>
      </c>
      <c r="AF271" s="445">
        <f>+O271+P271+Q271+R271+S271</f>
        <v>361919333</v>
      </c>
    </row>
    <row r="272" spans="8:19" s="445" customFormat="1" ht="14.25">
      <c r="H272" s="445">
        <f>+H270-H271</f>
        <v>0</v>
      </c>
      <c r="I272" s="445">
        <f aca="true" t="shared" si="84" ref="I272:S272">+I270-I271</f>
        <v>0</v>
      </c>
      <c r="J272" s="445">
        <f t="shared" si="84"/>
        <v>0</v>
      </c>
      <c r="K272" s="445">
        <f t="shared" si="84"/>
        <v>0</v>
      </c>
      <c r="L272" s="445">
        <f t="shared" si="84"/>
        <v>0</v>
      </c>
      <c r="M272" s="445">
        <f t="shared" si="84"/>
        <v>0</v>
      </c>
      <c r="N272" s="445">
        <f t="shared" si="84"/>
        <v>0</v>
      </c>
      <c r="P272" s="445">
        <f t="shared" si="84"/>
        <v>0</v>
      </c>
      <c r="Q272" s="445">
        <f t="shared" si="84"/>
        <v>0</v>
      </c>
      <c r="R272" s="445">
        <f t="shared" si="84"/>
        <v>0</v>
      </c>
      <c r="S272" s="445">
        <f t="shared" si="84"/>
        <v>0</v>
      </c>
    </row>
    <row r="273" ht="14.25">
      <c r="I273" s="384"/>
    </row>
    <row r="276" spans="2:35" s="405" customFormat="1" ht="15.75">
      <c r="B276" s="544" t="s">
        <v>508</v>
      </c>
      <c r="C276" s="544"/>
      <c r="D276" s="544"/>
      <c r="E276" s="544"/>
      <c r="F276" s="544"/>
      <c r="G276" s="544"/>
      <c r="H276" s="406"/>
      <c r="I276" s="406"/>
      <c r="M276" s="407"/>
      <c r="N276" s="407"/>
      <c r="O276" s="527" t="s">
        <v>517</v>
      </c>
      <c r="P276" s="527"/>
      <c r="Q276" s="527"/>
      <c r="R276" s="407"/>
      <c r="S276" s="407"/>
      <c r="T276" s="407"/>
      <c r="U276" s="407"/>
      <c r="V276" s="407"/>
      <c r="W276" s="407"/>
      <c r="X276" s="407"/>
      <c r="Y276" s="407"/>
      <c r="Z276" s="407"/>
      <c r="AA276" s="407"/>
      <c r="AB276" s="406"/>
      <c r="AC276" s="406"/>
      <c r="AD276" s="406"/>
      <c r="AE276" s="406"/>
      <c r="AF276" s="406"/>
      <c r="AG276" s="406" t="s">
        <v>542</v>
      </c>
      <c r="AI276" s="408"/>
    </row>
    <row r="277" spans="2:33" s="409" customFormat="1" ht="15">
      <c r="B277" s="545" t="s">
        <v>498</v>
      </c>
      <c r="C277" s="545"/>
      <c r="D277" s="545"/>
      <c r="E277" s="545"/>
      <c r="F277" s="545"/>
      <c r="G277" s="545"/>
      <c r="H277" s="410"/>
      <c r="I277" s="410"/>
      <c r="M277" s="348"/>
      <c r="N277" s="348"/>
      <c r="O277" s="268"/>
      <c r="P277" s="268" t="s">
        <v>477</v>
      </c>
      <c r="Q277" s="268"/>
      <c r="R277" s="348"/>
      <c r="S277" s="348"/>
      <c r="T277" s="348"/>
      <c r="U277" s="348"/>
      <c r="V277" s="348"/>
      <c r="W277" s="348"/>
      <c r="X277" s="348"/>
      <c r="Y277" s="348"/>
      <c r="Z277" s="348"/>
      <c r="AA277" s="348"/>
      <c r="AB277" s="410"/>
      <c r="AC277" s="410"/>
      <c r="AD277" s="410"/>
      <c r="AE277" s="410"/>
      <c r="AF277" s="410"/>
      <c r="AG277" s="410" t="s">
        <v>473</v>
      </c>
    </row>
    <row r="278" spans="7:35" s="411" customFormat="1" ht="14.25">
      <c r="G278" s="412"/>
      <c r="J278" s="546"/>
      <c r="K278" s="546"/>
      <c r="AG278" s="413"/>
      <c r="AH278" s="414"/>
      <c r="AI278" s="415"/>
    </row>
    <row r="279" spans="2:33" s="348" customFormat="1" ht="14.25">
      <c r="B279" s="410"/>
      <c r="C279" s="410"/>
      <c r="D279" s="410"/>
      <c r="E279" s="410"/>
      <c r="F279" s="410"/>
      <c r="G279" s="349"/>
      <c r="AG279" s="350"/>
    </row>
    <row r="280" spans="2:33" s="348" customFormat="1" ht="14.25">
      <c r="B280" s="410"/>
      <c r="C280" s="410"/>
      <c r="D280" s="410"/>
      <c r="E280" s="410"/>
      <c r="F280" s="410"/>
      <c r="G280" s="349"/>
      <c r="AG280" s="350"/>
    </row>
    <row r="281" spans="2:33" s="348" customFormat="1" ht="14.25">
      <c r="B281" s="410"/>
      <c r="C281" s="410"/>
      <c r="D281" s="410"/>
      <c r="E281" s="410"/>
      <c r="F281" s="410"/>
      <c r="G281" s="349"/>
      <c r="AG281" s="350"/>
    </row>
    <row r="282" spans="2:33" s="348" customFormat="1" ht="14.25">
      <c r="B282" s="410"/>
      <c r="C282" s="410"/>
      <c r="D282" s="410"/>
      <c r="E282" s="410"/>
      <c r="F282" s="410"/>
      <c r="G282" s="349"/>
      <c r="AG282" s="350"/>
    </row>
  </sheetData>
  <sheetProtection/>
  <mergeCells count="28">
    <mergeCell ref="O276:Q276"/>
    <mergeCell ref="B276:G276"/>
    <mergeCell ref="B277:G277"/>
    <mergeCell ref="J278:K278"/>
    <mergeCell ref="AA18:AD18"/>
    <mergeCell ref="AE18:AE19"/>
    <mergeCell ref="Y18:Y19"/>
    <mergeCell ref="Z18:Z19"/>
    <mergeCell ref="J18:J19"/>
    <mergeCell ref="K18:N18"/>
    <mergeCell ref="B18:F18"/>
    <mergeCell ref="G18:G19"/>
    <mergeCell ref="H18:H19"/>
    <mergeCell ref="I18:I19"/>
    <mergeCell ref="AI18:AI19"/>
    <mergeCell ref="O18:O19"/>
    <mergeCell ref="P18:S18"/>
    <mergeCell ref="T18:T19"/>
    <mergeCell ref="U18:X18"/>
    <mergeCell ref="AG18:AG19"/>
    <mergeCell ref="AH18:AH19"/>
    <mergeCell ref="G3:AH3"/>
    <mergeCell ref="G4:AH4"/>
    <mergeCell ref="G5:AH5"/>
    <mergeCell ref="AH12:AI12"/>
    <mergeCell ref="AH16:AI16"/>
    <mergeCell ref="AH17:AI17"/>
    <mergeCell ref="AF18:AF19"/>
  </mergeCells>
  <printOptions/>
  <pageMargins left="0.7086614173228347" right="0.16" top="0.4330708661417323" bottom="0.7480314960629921" header="0.31496062992125984" footer="0.31496062992125984"/>
  <pageSetup orientation="landscape" paperSize="190" scale="70" r:id="rId1"/>
  <rowBreaks count="1" manualBreakCount="1">
    <brk id="2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294"/>
  <sheetViews>
    <sheetView zoomScaleSheetLayoutView="100" zoomScalePageLayoutView="0" workbookViewId="0" topLeftCell="A16">
      <pane xSplit="6768" ySplit="1188" topLeftCell="G207" activePane="bottomLeft" state="split"/>
      <selection pane="topLeft" activeCell="A16" sqref="A1:IV16384"/>
      <selection pane="topRight" activeCell="Q18" sqref="Q18"/>
      <selection pane="bottomLeft" activeCell="A290" sqref="A290:IV290"/>
      <selection pane="bottomRight" activeCell="J286" sqref="J286"/>
    </sheetView>
  </sheetViews>
  <sheetFormatPr defaultColWidth="11.421875" defaultRowHeight="12.75"/>
  <cols>
    <col min="1" max="1" width="2.57421875" style="77" customWidth="1"/>
    <col min="2" max="2" width="4.421875" style="65" customWidth="1"/>
    <col min="3" max="3" width="4.8515625" style="65" bestFit="1" customWidth="1"/>
    <col min="4" max="4" width="5.00390625" style="65" customWidth="1"/>
    <col min="5" max="5" width="3.8515625" style="65" bestFit="1" customWidth="1"/>
    <col min="6" max="6" width="4.140625" style="65" bestFit="1" customWidth="1"/>
    <col min="7" max="7" width="35.8515625" style="65" customWidth="1"/>
    <col min="8" max="8" width="12.140625" style="65" customWidth="1"/>
    <col min="9" max="9" width="12.421875" style="65" customWidth="1"/>
    <col min="10" max="10" width="13.00390625" style="65" customWidth="1"/>
    <col min="11" max="14" width="10.8515625" style="65" hidden="1" customWidth="1"/>
    <col min="15" max="15" width="12.8515625" style="65" customWidth="1"/>
    <col min="16" max="19" width="10.8515625" style="65" customWidth="1"/>
    <col min="20" max="20" width="12.00390625" style="65" customWidth="1"/>
    <col min="21" max="21" width="13.28125" style="65" customWidth="1"/>
    <col min="22" max="22" width="12.00390625" style="65" customWidth="1"/>
    <col min="23" max="23" width="11.28125" style="65" customWidth="1"/>
    <col min="24" max="16384" width="11.421875" style="65" customWidth="1"/>
  </cols>
  <sheetData>
    <row r="1" spans="1:7" s="11" customFormat="1" ht="10.5" customHeight="1" hidden="1">
      <c r="A1" s="124"/>
      <c r="B1" s="56"/>
      <c r="C1" s="56"/>
      <c r="D1" s="56"/>
      <c r="E1" s="56"/>
      <c r="F1" s="56"/>
      <c r="G1" s="71"/>
    </row>
    <row r="2" spans="2:7" s="12" customFormat="1" ht="10.5" customHeight="1" hidden="1">
      <c r="B2" s="73"/>
      <c r="C2" s="73"/>
      <c r="D2" s="73"/>
      <c r="E2" s="73"/>
      <c r="F2" s="73"/>
      <c r="G2" s="74"/>
    </row>
    <row r="3" spans="2:21" s="12" customFormat="1" ht="34.5" hidden="1">
      <c r="B3" s="73"/>
      <c r="C3" s="73"/>
      <c r="D3" s="73"/>
      <c r="E3" s="73"/>
      <c r="F3" s="7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</row>
    <row r="4" spans="2:21" s="12" customFormat="1" ht="17.25" hidden="1">
      <c r="B4" s="73"/>
      <c r="C4" s="73"/>
      <c r="D4" s="73"/>
      <c r="E4" s="73"/>
      <c r="F4" s="73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</row>
    <row r="5" spans="2:23" s="12" customFormat="1" ht="17.25" hidden="1">
      <c r="B5" s="75"/>
      <c r="C5" s="75"/>
      <c r="D5" s="75"/>
      <c r="E5" s="75"/>
      <c r="F5" s="75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  <c r="S5" s="524"/>
      <c r="T5" s="524"/>
      <c r="U5" s="524"/>
      <c r="V5" s="75"/>
      <c r="W5" s="75"/>
    </row>
    <row r="6" spans="2:23" ht="7.5" customHeight="1" hidden="1"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</row>
    <row r="7" spans="2:23" s="79" customFormat="1" ht="3.75" customHeight="1">
      <c r="B7" s="80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2"/>
    </row>
    <row r="8" spans="2:23" s="250" customFormat="1" ht="26.25">
      <c r="B8" s="254" t="s">
        <v>286</v>
      </c>
      <c r="C8" s="255"/>
      <c r="D8" s="255"/>
      <c r="E8" s="255"/>
      <c r="F8" s="255"/>
      <c r="G8" s="255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2"/>
      <c r="W8" s="253"/>
    </row>
    <row r="9" spans="2:23" s="99" customFormat="1" ht="18.75">
      <c r="B9" s="166" t="s">
        <v>524</v>
      </c>
      <c r="C9" s="167"/>
      <c r="D9" s="167"/>
      <c r="E9" s="167"/>
      <c r="F9" s="167"/>
      <c r="G9" s="167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7"/>
    </row>
    <row r="10" spans="1:23" s="91" customFormat="1" ht="16.5">
      <c r="A10" s="84"/>
      <c r="B10" s="85" t="s">
        <v>241</v>
      </c>
      <c r="C10" s="86"/>
      <c r="D10" s="86"/>
      <c r="E10" s="86"/>
      <c r="F10" s="87" t="s">
        <v>224</v>
      </c>
      <c r="G10" s="88">
        <v>30</v>
      </c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90"/>
    </row>
    <row r="11" spans="1:23" s="91" customFormat="1" ht="16.5">
      <c r="A11" s="84"/>
      <c r="B11" s="85" t="s">
        <v>225</v>
      </c>
      <c r="C11" s="86"/>
      <c r="D11" s="86"/>
      <c r="E11" s="86"/>
      <c r="F11" s="87" t="s">
        <v>224</v>
      </c>
      <c r="G11" s="86" t="str">
        <f>'GASTOS CONSOLIDADO'!F11</f>
        <v>235 MUNICIPALIDAD DE CARMELO PERALTA</v>
      </c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539"/>
      <c r="W11" s="540"/>
    </row>
    <row r="12" spans="1:23" s="91" customFormat="1" ht="16.5">
      <c r="A12" s="84"/>
      <c r="B12" s="85" t="s">
        <v>226</v>
      </c>
      <c r="C12" s="86"/>
      <c r="D12" s="86"/>
      <c r="E12" s="86"/>
      <c r="F12" s="87" t="s">
        <v>224</v>
      </c>
      <c r="G12" s="148" t="s">
        <v>298</v>
      </c>
      <c r="H12" s="148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5"/>
    </row>
    <row r="13" spans="1:23" s="91" customFormat="1" ht="16.5">
      <c r="A13" s="84"/>
      <c r="B13" s="85" t="s">
        <v>227</v>
      </c>
      <c r="C13" s="86"/>
      <c r="D13" s="86"/>
      <c r="E13" s="86"/>
      <c r="F13" s="87" t="s">
        <v>224</v>
      </c>
      <c r="G13" s="148" t="s">
        <v>299</v>
      </c>
      <c r="H13" s="148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5"/>
    </row>
    <row r="14" spans="1:23" s="91" customFormat="1" ht="16.5">
      <c r="A14" s="84"/>
      <c r="B14" s="85" t="s">
        <v>228</v>
      </c>
      <c r="C14" s="86"/>
      <c r="D14" s="86"/>
      <c r="E14" s="86"/>
      <c r="F14" s="87" t="s">
        <v>224</v>
      </c>
      <c r="G14" s="148" t="s">
        <v>300</v>
      </c>
      <c r="H14" s="148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5"/>
    </row>
    <row r="15" spans="1:23" s="91" customFormat="1" ht="16.5">
      <c r="A15" s="84"/>
      <c r="B15" s="85" t="s">
        <v>229</v>
      </c>
      <c r="C15" s="86"/>
      <c r="D15" s="86"/>
      <c r="E15" s="86"/>
      <c r="F15" s="87" t="s">
        <v>224</v>
      </c>
      <c r="G15" s="89" t="s">
        <v>301</v>
      </c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535" t="s">
        <v>287</v>
      </c>
      <c r="W15" s="536"/>
    </row>
    <row r="16" spans="2:23" s="94" customFormat="1" ht="6" customHeight="1">
      <c r="B16" s="95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531"/>
      <c r="W16" s="532"/>
    </row>
    <row r="17" spans="1:23" s="63" customFormat="1" ht="15" customHeight="1">
      <c r="A17" s="62"/>
      <c r="B17" s="565" t="s">
        <v>11</v>
      </c>
      <c r="C17" s="566"/>
      <c r="D17" s="566"/>
      <c r="E17" s="566"/>
      <c r="F17" s="567"/>
      <c r="G17" s="512" t="s">
        <v>12</v>
      </c>
      <c r="H17" s="514" t="s">
        <v>230</v>
      </c>
      <c r="I17" s="514" t="s">
        <v>280</v>
      </c>
      <c r="J17" s="514" t="s">
        <v>223</v>
      </c>
      <c r="K17" s="516" t="s">
        <v>322</v>
      </c>
      <c r="L17" s="517"/>
      <c r="M17" s="517"/>
      <c r="N17" s="517"/>
      <c r="O17" s="514" t="s">
        <v>565</v>
      </c>
      <c r="P17" s="564" t="s">
        <v>322</v>
      </c>
      <c r="Q17" s="564"/>
      <c r="R17" s="564"/>
      <c r="S17" s="564"/>
      <c r="T17" s="514" t="s">
        <v>244</v>
      </c>
      <c r="U17" s="525" t="s">
        <v>231</v>
      </c>
      <c r="V17" s="514" t="s">
        <v>245</v>
      </c>
      <c r="W17" s="514" t="s">
        <v>246</v>
      </c>
    </row>
    <row r="18" spans="1:23" ht="25.5" customHeight="1">
      <c r="A18" s="64"/>
      <c r="B18" s="44" t="s">
        <v>14</v>
      </c>
      <c r="C18" s="44" t="s">
        <v>296</v>
      </c>
      <c r="D18" s="44" t="s">
        <v>232</v>
      </c>
      <c r="E18" s="44" t="s">
        <v>15</v>
      </c>
      <c r="F18" s="44" t="s">
        <v>16</v>
      </c>
      <c r="G18" s="513"/>
      <c r="H18" s="515"/>
      <c r="I18" s="515"/>
      <c r="J18" s="515"/>
      <c r="K18" s="39">
        <v>40909</v>
      </c>
      <c r="L18" s="39">
        <v>40940</v>
      </c>
      <c r="M18" s="39">
        <v>40969</v>
      </c>
      <c r="N18" s="47">
        <v>41000</v>
      </c>
      <c r="O18" s="515"/>
      <c r="P18" s="336">
        <v>41030</v>
      </c>
      <c r="Q18" s="336">
        <v>41061</v>
      </c>
      <c r="R18" s="337" t="s">
        <v>514</v>
      </c>
      <c r="S18" s="337" t="s">
        <v>540</v>
      </c>
      <c r="T18" s="515"/>
      <c r="U18" s="526"/>
      <c r="V18" s="515"/>
      <c r="W18" s="515"/>
    </row>
    <row r="19" spans="1:23" s="98" customFormat="1" ht="20.25">
      <c r="A19" s="97"/>
      <c r="B19" s="40"/>
      <c r="C19" s="40"/>
      <c r="D19" s="40"/>
      <c r="E19" s="40"/>
      <c r="F19" s="40"/>
      <c r="G19" s="40" t="s">
        <v>17</v>
      </c>
      <c r="H19" s="42">
        <f aca="true" t="shared" si="0" ref="H19:N19">+H20+H207</f>
        <v>1429590851</v>
      </c>
      <c r="I19" s="42">
        <f t="shared" si="0"/>
        <v>393794316</v>
      </c>
      <c r="J19" s="42">
        <f t="shared" si="0"/>
        <v>1823385167</v>
      </c>
      <c r="K19" s="42">
        <f t="shared" si="0"/>
        <v>5000000</v>
      </c>
      <c r="L19" s="42">
        <f t="shared" si="0"/>
        <v>61108686</v>
      </c>
      <c r="M19" s="42">
        <f t="shared" si="0"/>
        <v>36763668</v>
      </c>
      <c r="N19" s="42">
        <f t="shared" si="0"/>
        <v>138190785</v>
      </c>
      <c r="O19" s="42">
        <f>SUM(K19:N19)</f>
        <v>241063139</v>
      </c>
      <c r="P19" s="42">
        <f>+P20+P207</f>
        <v>128625217</v>
      </c>
      <c r="Q19" s="42">
        <f>+Q20+Q207</f>
        <v>154271441</v>
      </c>
      <c r="R19" s="42">
        <f>+R20+R207</f>
        <v>155025158</v>
      </c>
      <c r="S19" s="42">
        <f>+S20+S207</f>
        <v>100840929</v>
      </c>
      <c r="T19" s="42">
        <f>SUM(O19:S19)</f>
        <v>779825884</v>
      </c>
      <c r="U19" s="42">
        <f>+U20+U207</f>
        <v>1097291933</v>
      </c>
      <c r="V19" s="42">
        <f>+V20+V207</f>
        <v>736367410</v>
      </c>
      <c r="W19" s="42">
        <f>+W20+W207</f>
        <v>0</v>
      </c>
    </row>
    <row r="20" spans="1:23" s="98" customFormat="1" ht="18">
      <c r="A20" s="99"/>
      <c r="B20" s="40"/>
      <c r="C20" s="40"/>
      <c r="D20" s="40"/>
      <c r="E20" s="40"/>
      <c r="F20" s="40"/>
      <c r="G20" s="46" t="s">
        <v>18</v>
      </c>
      <c r="H20" s="3">
        <f aca="true" t="shared" si="1" ref="H20:N20">+H21+H66+H110+H151+H190</f>
        <v>1329590851</v>
      </c>
      <c r="I20" s="3">
        <f t="shared" si="1"/>
        <v>-5539565</v>
      </c>
      <c r="J20" s="3">
        <f t="shared" si="1"/>
        <v>1324051286</v>
      </c>
      <c r="K20" s="3">
        <f t="shared" si="1"/>
        <v>5000000</v>
      </c>
      <c r="L20" s="3">
        <f t="shared" si="1"/>
        <v>61108686</v>
      </c>
      <c r="M20" s="3">
        <f t="shared" si="1"/>
        <v>36763668</v>
      </c>
      <c r="N20" s="3">
        <f t="shared" si="1"/>
        <v>138190785</v>
      </c>
      <c r="O20" s="3">
        <f aca="true" t="shared" si="2" ref="O20:O83">SUM(K20:N20)</f>
        <v>241063139</v>
      </c>
      <c r="P20" s="3">
        <f>+P21+P66+P110+P151+P190</f>
        <v>128625217</v>
      </c>
      <c r="Q20" s="3">
        <f>+Q21+Q66+Q110+Q151+Q190</f>
        <v>154271441</v>
      </c>
      <c r="R20" s="3">
        <f>+R21+R66+R110+R151+R190</f>
        <v>155025158</v>
      </c>
      <c r="S20" s="3">
        <f>+S21+S66+S110+S151+S190</f>
        <v>100840929</v>
      </c>
      <c r="T20" s="3">
        <f aca="true" t="shared" si="3" ref="T20:T83">SUM(O20:S20)</f>
        <v>779825884</v>
      </c>
      <c r="U20" s="3">
        <f>+U21+U66+U110+U151+U190</f>
        <v>597958052</v>
      </c>
      <c r="V20" s="3">
        <f>+V21+V66+V110+V151+V190</f>
        <v>736367410</v>
      </c>
      <c r="W20" s="3">
        <f>+W21+W66+W110+W151+W190</f>
        <v>0</v>
      </c>
    </row>
    <row r="21" spans="1:23" s="98" customFormat="1" ht="15">
      <c r="A21" s="285"/>
      <c r="B21" s="43">
        <f>'GASTOS CONSOLIDADO'!A19</f>
        <v>100</v>
      </c>
      <c r="C21" s="43"/>
      <c r="D21" s="43"/>
      <c r="E21" s="43"/>
      <c r="F21" s="43"/>
      <c r="G21" s="13" t="str">
        <f>'GASTOS CONSOLIDADO'!F19</f>
        <v>SERVICIOS PERSONALES</v>
      </c>
      <c r="H21" s="3">
        <f>+H22+H28+H36+H46+H61</f>
        <v>732272654</v>
      </c>
      <c r="I21" s="3">
        <f>+I22+I28+I36+I46+I61</f>
        <v>14960435</v>
      </c>
      <c r="J21" s="3">
        <f>+J22+J28+J36+J46+J61</f>
        <v>747233089</v>
      </c>
      <c r="K21" s="3">
        <f>+K22+K28+K36+K46+K61</f>
        <v>0</v>
      </c>
      <c r="L21" s="3">
        <f>+L22+L28+L36+L46+L61</f>
        <v>37963668</v>
      </c>
      <c r="M21" s="3">
        <f aca="true" t="shared" si="4" ref="M21:W21">+M22+M28+M36+M46+M61</f>
        <v>36763668</v>
      </c>
      <c r="N21" s="3">
        <f t="shared" si="4"/>
        <v>63018856</v>
      </c>
      <c r="O21" s="3">
        <f t="shared" si="2"/>
        <v>137746192</v>
      </c>
      <c r="P21" s="3">
        <f t="shared" si="4"/>
        <v>88187252</v>
      </c>
      <c r="Q21" s="3">
        <f t="shared" si="4"/>
        <v>14230896</v>
      </c>
      <c r="R21" s="3">
        <f t="shared" si="4"/>
        <v>79237271</v>
      </c>
      <c r="S21" s="3">
        <f t="shared" si="4"/>
        <v>56134873</v>
      </c>
      <c r="T21" s="3">
        <f t="shared" si="3"/>
        <v>375536484</v>
      </c>
      <c r="U21" s="3">
        <f t="shared" si="4"/>
        <v>414035079</v>
      </c>
      <c r="V21" s="3">
        <f t="shared" si="4"/>
        <v>333198010</v>
      </c>
      <c r="W21" s="3">
        <f t="shared" si="4"/>
        <v>0</v>
      </c>
    </row>
    <row r="22" spans="1:23" s="98" customFormat="1" ht="15">
      <c r="A22" s="285"/>
      <c r="B22" s="43"/>
      <c r="C22" s="43">
        <f>'GASTOS CONSOLIDADO'!B20</f>
        <v>110</v>
      </c>
      <c r="D22" s="43"/>
      <c r="E22" s="43"/>
      <c r="F22" s="43"/>
      <c r="G22" s="13" t="str">
        <f>'GASTOS CONSOLIDADO'!F20</f>
        <v>Remuneraciones Básicas</v>
      </c>
      <c r="H22" s="3">
        <f>+H23+H24+H25+H26</f>
        <v>438382471</v>
      </c>
      <c r="I22" s="3">
        <f>+I23+I24+I25+I26</f>
        <v>-19458563</v>
      </c>
      <c r="J22" s="3">
        <f>+J23+J24+J25+J26</f>
        <v>418923908</v>
      </c>
      <c r="K22" s="3">
        <f>+K23+K24+K25+K26</f>
        <v>0</v>
      </c>
      <c r="L22" s="3">
        <f>+L23+L24+L25+L26</f>
        <v>28285960</v>
      </c>
      <c r="M22" s="3">
        <f aca="true" t="shared" si="5" ref="M22:W22">+M23+M24+M25+M26</f>
        <v>28285960</v>
      </c>
      <c r="N22" s="3">
        <f t="shared" si="5"/>
        <v>29737960</v>
      </c>
      <c r="O22" s="3">
        <f t="shared" si="2"/>
        <v>86309880</v>
      </c>
      <c r="P22" s="3">
        <f t="shared" si="5"/>
        <v>52215920</v>
      </c>
      <c r="Q22" s="3">
        <f t="shared" si="5"/>
        <v>0</v>
      </c>
      <c r="R22" s="3">
        <f>SUM(R23:R26)</f>
        <v>41467901</v>
      </c>
      <c r="S22" s="3">
        <f t="shared" si="5"/>
        <v>24823081</v>
      </c>
      <c r="T22" s="3">
        <f t="shared" si="3"/>
        <v>204816782</v>
      </c>
      <c r="U22" s="3">
        <f t="shared" si="5"/>
        <v>214107126</v>
      </c>
      <c r="V22" s="3">
        <f t="shared" si="5"/>
        <v>204816782</v>
      </c>
      <c r="W22" s="3">
        <f t="shared" si="5"/>
        <v>0</v>
      </c>
    </row>
    <row r="23" spans="1:23" s="98" customFormat="1" ht="15">
      <c r="A23" s="285"/>
      <c r="B23" s="100"/>
      <c r="C23" s="100"/>
      <c r="D23" s="100">
        <f>'GASTOS CONSOLIDADO'!C21</f>
        <v>111</v>
      </c>
      <c r="E23" s="2" t="str">
        <f>'GASTOS CONSOLIDADO'!D21</f>
        <v>30</v>
      </c>
      <c r="F23" s="2" t="str">
        <f>'GASTOS CONSOLIDADO'!E21</f>
        <v>001</v>
      </c>
      <c r="G23" s="23" t="str">
        <f>'GASTOS CONSOLIDADO'!F21</f>
        <v>Sueldos</v>
      </c>
      <c r="H23" s="5">
        <f>'GASTOS CONSOLIDADO'!G21</f>
        <v>221411327</v>
      </c>
      <c r="I23" s="5">
        <f>'GASTOS CONSOLIDADO'!H21</f>
        <v>-17961750</v>
      </c>
      <c r="J23" s="5">
        <f>H23+I23</f>
        <v>203449577</v>
      </c>
      <c r="K23" s="5">
        <v>0</v>
      </c>
      <c r="L23" s="5">
        <v>12808960</v>
      </c>
      <c r="M23" s="5">
        <v>12808960</v>
      </c>
      <c r="N23" s="5">
        <v>12808960</v>
      </c>
      <c r="O23" s="5">
        <f t="shared" si="2"/>
        <v>38426880</v>
      </c>
      <c r="P23" s="5">
        <v>25617920</v>
      </c>
      <c r="Q23" s="5">
        <v>0</v>
      </c>
      <c r="R23" s="5">
        <f>+HOJA!D6</f>
        <v>22129901</v>
      </c>
      <c r="S23" s="5">
        <f>+HOJA!D95</f>
        <v>15154081</v>
      </c>
      <c r="T23" s="5">
        <f t="shared" si="3"/>
        <v>101328782</v>
      </c>
      <c r="U23" s="5">
        <f>J23-T23</f>
        <v>102120795</v>
      </c>
      <c r="V23" s="5">
        <f>+J23-U23</f>
        <v>101328782</v>
      </c>
      <c r="W23" s="5">
        <f>+T23-V23</f>
        <v>0</v>
      </c>
    </row>
    <row r="24" spans="1:23" s="98" customFormat="1" ht="15">
      <c r="A24" s="285"/>
      <c r="B24" s="100"/>
      <c r="C24" s="100"/>
      <c r="D24" s="100">
        <f>'GASTOS CONSOLIDADO'!C22</f>
        <v>112</v>
      </c>
      <c r="E24" s="2" t="str">
        <f>'GASTOS CONSOLIDADO'!D22</f>
        <v>30</v>
      </c>
      <c r="F24" s="2" t="str">
        <f>'GASTOS CONSOLIDADO'!E22</f>
        <v>001</v>
      </c>
      <c r="G24" s="23" t="str">
        <f>'GASTOS CONSOLIDADO'!F22</f>
        <v>Dieta</v>
      </c>
      <c r="H24" s="5">
        <f>'GASTOS CONSOLIDADO'!G22</f>
        <v>148327200</v>
      </c>
      <c r="I24" s="5">
        <f>'GASTOS CONSOLIDADO'!H22</f>
        <v>0</v>
      </c>
      <c r="J24" s="5">
        <f>H24+I24</f>
        <v>148327200</v>
      </c>
      <c r="K24" s="5">
        <v>0</v>
      </c>
      <c r="L24" s="5">
        <v>11616000</v>
      </c>
      <c r="M24" s="5">
        <v>11616000</v>
      </c>
      <c r="N24" s="5">
        <v>13068000</v>
      </c>
      <c r="O24" s="5">
        <f t="shared" si="2"/>
        <v>36300000</v>
      </c>
      <c r="P24" s="5">
        <v>18876000</v>
      </c>
      <c r="Q24" s="5">
        <v>0</v>
      </c>
      <c r="R24" s="5">
        <f>+HOJA!D8</f>
        <v>11616000</v>
      </c>
      <c r="S24" s="5">
        <f>+HOJA!D96</f>
        <v>5808000</v>
      </c>
      <c r="T24" s="5">
        <f t="shared" si="3"/>
        <v>72600000</v>
      </c>
      <c r="U24" s="5">
        <f>J24-T24</f>
        <v>75727200</v>
      </c>
      <c r="V24" s="5">
        <f>+J24-U24</f>
        <v>72600000</v>
      </c>
      <c r="W24" s="5">
        <f>+T24-V24</f>
        <v>0</v>
      </c>
    </row>
    <row r="25" spans="1:23" s="98" customFormat="1" ht="15">
      <c r="A25" s="285"/>
      <c r="B25" s="100"/>
      <c r="C25" s="100"/>
      <c r="D25" s="100">
        <f>'GASTOS CONSOLIDADO'!C23</f>
        <v>113</v>
      </c>
      <c r="E25" s="2" t="str">
        <f>'GASTOS CONSOLIDADO'!D23</f>
        <v>30</v>
      </c>
      <c r="F25" s="2" t="str">
        <f>'GASTOS CONSOLIDADO'!E23</f>
        <v>001</v>
      </c>
      <c r="G25" s="23" t="str">
        <f>'GASTOS CONSOLIDADO'!F23</f>
        <v>Gastos de Representación</v>
      </c>
      <c r="H25" s="5">
        <f>'GASTOS CONSOLIDADO'!G23</f>
        <v>46332000</v>
      </c>
      <c r="I25" s="5">
        <f>'GASTOS CONSOLIDADO'!H23</f>
        <v>0</v>
      </c>
      <c r="J25" s="5">
        <f>H25+I25</f>
        <v>46332000</v>
      </c>
      <c r="K25" s="5">
        <v>0</v>
      </c>
      <c r="L25" s="5">
        <v>3861000</v>
      </c>
      <c r="M25" s="5">
        <v>3861000</v>
      </c>
      <c r="N25" s="5">
        <v>3861000</v>
      </c>
      <c r="O25" s="5">
        <f t="shared" si="2"/>
        <v>11583000</v>
      </c>
      <c r="P25" s="5">
        <v>7722000</v>
      </c>
      <c r="Q25" s="5">
        <v>0</v>
      </c>
      <c r="R25" s="5">
        <f>+HOJA!D10</f>
        <v>7722000</v>
      </c>
      <c r="S25" s="5">
        <f>+HOJA!D97</f>
        <v>3861000</v>
      </c>
      <c r="T25" s="5">
        <f t="shared" si="3"/>
        <v>30888000</v>
      </c>
      <c r="U25" s="5">
        <f>J25-T25</f>
        <v>15444000</v>
      </c>
      <c r="V25" s="5">
        <f>+J25-U25</f>
        <v>30888000</v>
      </c>
      <c r="W25" s="5">
        <f>+T25-V25</f>
        <v>0</v>
      </c>
    </row>
    <row r="26" spans="1:23" s="98" customFormat="1" ht="15">
      <c r="A26" s="285"/>
      <c r="B26" s="100"/>
      <c r="C26" s="100"/>
      <c r="D26" s="100">
        <f>'GASTOS CONSOLIDADO'!C24</f>
        <v>114</v>
      </c>
      <c r="E26" s="2" t="str">
        <f>'GASTOS CONSOLIDADO'!D24</f>
        <v>30</v>
      </c>
      <c r="F26" s="2" t="str">
        <f>'GASTOS CONSOLIDADO'!E24</f>
        <v>001</v>
      </c>
      <c r="G26" s="23" t="str">
        <f>'GASTOS CONSOLIDADO'!F24</f>
        <v>Aguinaldo</v>
      </c>
      <c r="H26" s="5">
        <f>'GASTOS CONSOLIDADO'!G24</f>
        <v>22311944</v>
      </c>
      <c r="I26" s="5">
        <f>'GASTOS CONSOLIDADO'!H24</f>
        <v>-1496813</v>
      </c>
      <c r="J26" s="5">
        <f>H26+I26</f>
        <v>20815131</v>
      </c>
      <c r="K26" s="5">
        <v>0</v>
      </c>
      <c r="L26" s="5">
        <v>0</v>
      </c>
      <c r="M26" s="5">
        <v>0</v>
      </c>
      <c r="N26" s="5">
        <v>0</v>
      </c>
      <c r="O26" s="5">
        <f t="shared" si="2"/>
        <v>0</v>
      </c>
      <c r="P26" s="5">
        <v>0</v>
      </c>
      <c r="Q26" s="5">
        <v>0</v>
      </c>
      <c r="R26" s="5">
        <v>0</v>
      </c>
      <c r="S26" s="5"/>
      <c r="T26" s="5">
        <f t="shared" si="3"/>
        <v>0</v>
      </c>
      <c r="U26" s="5">
        <f>J26-T26</f>
        <v>20815131</v>
      </c>
      <c r="V26" s="5">
        <f>+J26-U26</f>
        <v>0</v>
      </c>
      <c r="W26" s="5">
        <f>+T26-V26</f>
        <v>0</v>
      </c>
    </row>
    <row r="27" spans="1:23" s="98" customFormat="1" ht="15">
      <c r="A27" s="285"/>
      <c r="B27" s="100"/>
      <c r="C27" s="100"/>
      <c r="D27" s="100"/>
      <c r="E27" s="2"/>
      <c r="F27" s="2"/>
      <c r="G27" s="23"/>
      <c r="H27" s="5"/>
      <c r="I27" s="5"/>
      <c r="J27" s="5"/>
      <c r="K27" s="5"/>
      <c r="L27" s="5"/>
      <c r="M27" s="5"/>
      <c r="N27" s="5"/>
      <c r="O27" s="5">
        <f t="shared" si="2"/>
        <v>0</v>
      </c>
      <c r="P27" s="5"/>
      <c r="Q27" s="5"/>
      <c r="R27" s="5"/>
      <c r="S27" s="5"/>
      <c r="T27" s="5">
        <f t="shared" si="3"/>
        <v>0</v>
      </c>
      <c r="U27" s="5"/>
      <c r="V27" s="5"/>
      <c r="W27" s="5"/>
    </row>
    <row r="28" spans="1:23" s="328" customFormat="1" ht="15.75">
      <c r="A28" s="327"/>
      <c r="B28" s="43"/>
      <c r="C28" s="43">
        <v>120</v>
      </c>
      <c r="D28" s="43"/>
      <c r="E28" s="1"/>
      <c r="F28" s="1"/>
      <c r="G28" s="13" t="s">
        <v>526</v>
      </c>
      <c r="H28" s="3">
        <f>+H29+H30</f>
        <v>0</v>
      </c>
      <c r="I28" s="3">
        <f aca="true" t="shared" si="6" ref="I28:W28">+I29+I30</f>
        <v>0</v>
      </c>
      <c r="J28" s="3">
        <f t="shared" si="6"/>
        <v>0</v>
      </c>
      <c r="K28" s="3">
        <f t="shared" si="6"/>
        <v>0</v>
      </c>
      <c r="L28" s="3">
        <f t="shared" si="6"/>
        <v>0</v>
      </c>
      <c r="M28" s="3">
        <f t="shared" si="6"/>
        <v>0</v>
      </c>
      <c r="N28" s="3">
        <f t="shared" si="6"/>
        <v>0</v>
      </c>
      <c r="O28" s="3">
        <f t="shared" si="2"/>
        <v>0</v>
      </c>
      <c r="P28" s="3">
        <f t="shared" si="6"/>
        <v>0</v>
      </c>
      <c r="Q28" s="3">
        <f t="shared" si="6"/>
        <v>0</v>
      </c>
      <c r="R28" s="3">
        <f t="shared" si="6"/>
        <v>0</v>
      </c>
      <c r="S28" s="3">
        <f t="shared" si="6"/>
        <v>0</v>
      </c>
      <c r="T28" s="3">
        <f t="shared" si="3"/>
        <v>0</v>
      </c>
      <c r="U28" s="3">
        <f t="shared" si="6"/>
        <v>0</v>
      </c>
      <c r="V28" s="3">
        <f t="shared" si="6"/>
        <v>0</v>
      </c>
      <c r="W28" s="3">
        <f t="shared" si="6"/>
        <v>0</v>
      </c>
    </row>
    <row r="29" spans="1:23" s="98" customFormat="1" ht="15">
      <c r="A29" s="285"/>
      <c r="B29" s="100"/>
      <c r="C29" s="100"/>
      <c r="D29" s="100">
        <v>123</v>
      </c>
      <c r="E29" s="2" t="s">
        <v>77</v>
      </c>
      <c r="F29" s="2" t="s">
        <v>21</v>
      </c>
      <c r="G29" s="23" t="s">
        <v>522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f t="shared" si="2"/>
        <v>0</v>
      </c>
      <c r="P29" s="5">
        <v>0</v>
      </c>
      <c r="Q29" s="5">
        <v>0</v>
      </c>
      <c r="R29" s="5">
        <v>0</v>
      </c>
      <c r="S29" s="5">
        <v>0</v>
      </c>
      <c r="T29" s="5">
        <f t="shared" si="3"/>
        <v>0</v>
      </c>
      <c r="U29" s="5">
        <v>0</v>
      </c>
      <c r="V29" s="5">
        <v>0</v>
      </c>
      <c r="W29" s="5">
        <v>0</v>
      </c>
    </row>
    <row r="30" spans="1:23" s="98" customFormat="1" ht="15">
      <c r="A30" s="285"/>
      <c r="B30" s="100"/>
      <c r="C30" s="100"/>
      <c r="D30" s="100">
        <v>125</v>
      </c>
      <c r="E30" s="2" t="s">
        <v>77</v>
      </c>
      <c r="F30" s="2" t="s">
        <v>21</v>
      </c>
      <c r="G30" s="23" t="s">
        <v>527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f t="shared" si="2"/>
        <v>0</v>
      </c>
      <c r="P30" s="5">
        <v>0</v>
      </c>
      <c r="Q30" s="5">
        <v>0</v>
      </c>
      <c r="R30" s="5">
        <v>0</v>
      </c>
      <c r="S30" s="5">
        <v>0</v>
      </c>
      <c r="T30" s="5">
        <f t="shared" si="3"/>
        <v>0</v>
      </c>
      <c r="U30" s="5">
        <v>0</v>
      </c>
      <c r="V30" s="5">
        <v>0</v>
      </c>
      <c r="W30" s="5">
        <v>0</v>
      </c>
    </row>
    <row r="31" spans="1:23" s="83" customFormat="1" ht="15">
      <c r="A31" s="285"/>
      <c r="B31" s="101"/>
      <c r="C31" s="101"/>
      <c r="D31" s="101"/>
      <c r="E31" s="17"/>
      <c r="F31" s="17"/>
      <c r="G31" s="18"/>
      <c r="H31" s="21"/>
      <c r="I31" s="21"/>
      <c r="J31" s="21"/>
      <c r="K31" s="21"/>
      <c r="L31" s="21"/>
      <c r="M31" s="21"/>
      <c r="N31" s="21"/>
      <c r="O31" s="21">
        <f t="shared" si="2"/>
        <v>0</v>
      </c>
      <c r="P31" s="21"/>
      <c r="Q31" s="21"/>
      <c r="R31" s="21"/>
      <c r="S31" s="21"/>
      <c r="T31" s="21">
        <f t="shared" si="3"/>
        <v>0</v>
      </c>
      <c r="U31" s="21"/>
      <c r="V31" s="21"/>
      <c r="W31" s="21"/>
    </row>
    <row r="32" spans="1:23" s="98" customFormat="1" ht="15" hidden="1">
      <c r="A32" s="285"/>
      <c r="B32" s="43"/>
      <c r="C32" s="43">
        <f>'GASTOS CONSOLIDADO'!B26</f>
        <v>120</v>
      </c>
      <c r="D32" s="43"/>
      <c r="E32" s="43"/>
      <c r="F32" s="43"/>
      <c r="G32" s="13" t="str">
        <f>'GASTOS CONSOLIDADO'!F26</f>
        <v>Remuneraciones Temporales</v>
      </c>
      <c r="H32" s="3">
        <f aca="true" t="shared" si="7" ref="H32:N32">SUM(H33:H35)</f>
        <v>0</v>
      </c>
      <c r="I32" s="3">
        <f t="shared" si="7"/>
        <v>0</v>
      </c>
      <c r="J32" s="3">
        <f t="shared" si="7"/>
        <v>0</v>
      </c>
      <c r="K32" s="3">
        <f t="shared" si="7"/>
        <v>0</v>
      </c>
      <c r="L32" s="3">
        <f t="shared" si="7"/>
        <v>0</v>
      </c>
      <c r="M32" s="3">
        <f t="shared" si="7"/>
        <v>0</v>
      </c>
      <c r="N32" s="3">
        <f t="shared" si="7"/>
        <v>0</v>
      </c>
      <c r="O32" s="3">
        <f t="shared" si="2"/>
        <v>0</v>
      </c>
      <c r="P32" s="3">
        <f aca="true" t="shared" si="8" ref="P32:W32">SUM(P33:P35)</f>
        <v>0</v>
      </c>
      <c r="Q32" s="3">
        <f t="shared" si="8"/>
        <v>0</v>
      </c>
      <c r="R32" s="3"/>
      <c r="S32" s="3"/>
      <c r="T32" s="3">
        <f t="shared" si="3"/>
        <v>0</v>
      </c>
      <c r="U32" s="3">
        <f t="shared" si="8"/>
        <v>0</v>
      </c>
      <c r="V32" s="3">
        <f t="shared" si="8"/>
        <v>0</v>
      </c>
      <c r="W32" s="3">
        <f t="shared" si="8"/>
        <v>0</v>
      </c>
    </row>
    <row r="33" spans="1:23" s="98" customFormat="1" ht="15" hidden="1">
      <c r="A33" s="285"/>
      <c r="B33" s="100"/>
      <c r="C33" s="100"/>
      <c r="D33" s="100">
        <f>'GASTOS CONSOLIDADO'!C27</f>
        <v>123</v>
      </c>
      <c r="E33" s="2" t="str">
        <f>'GASTOS CONSOLIDADO'!D27</f>
        <v>30</v>
      </c>
      <c r="F33" s="2" t="str">
        <f>'GASTOS CONSOLIDADO'!E27</f>
        <v>001</v>
      </c>
      <c r="G33" s="23" t="str">
        <f>'GASTOS CONSOLIDADO'!F27</f>
        <v>Remuneración Extraordinaria</v>
      </c>
      <c r="H33" s="5">
        <f>'GASTOS CONSOLIDADO'!G27</f>
        <v>0</v>
      </c>
      <c r="I33" s="5">
        <f>'GASTOS CONSOLIDADO'!H27</f>
        <v>0</v>
      </c>
      <c r="J33" s="5">
        <f>H33+I33</f>
        <v>0</v>
      </c>
      <c r="K33" s="5">
        <v>0</v>
      </c>
      <c r="L33" s="5">
        <v>0</v>
      </c>
      <c r="M33" s="5">
        <v>0</v>
      </c>
      <c r="N33" s="5">
        <v>0</v>
      </c>
      <c r="O33" s="5">
        <f t="shared" si="2"/>
        <v>0</v>
      </c>
      <c r="P33" s="5">
        <v>0</v>
      </c>
      <c r="Q33" s="5">
        <v>0</v>
      </c>
      <c r="R33" s="5"/>
      <c r="S33" s="5"/>
      <c r="T33" s="5">
        <f t="shared" si="3"/>
        <v>0</v>
      </c>
      <c r="U33" s="5">
        <f>J33-T33</f>
        <v>0</v>
      </c>
      <c r="V33" s="5">
        <v>0</v>
      </c>
      <c r="W33" s="5">
        <v>0</v>
      </c>
    </row>
    <row r="34" spans="1:23" s="98" customFormat="1" ht="15" hidden="1">
      <c r="A34" s="285"/>
      <c r="B34" s="100"/>
      <c r="C34" s="100"/>
      <c r="D34" s="100">
        <f>'GASTOS CONSOLIDADO'!C28</f>
        <v>125</v>
      </c>
      <c r="E34" s="2" t="str">
        <f>'GASTOS CONSOLIDADO'!D28</f>
        <v>30</v>
      </c>
      <c r="F34" s="2" t="str">
        <f>'GASTOS CONSOLIDADO'!E28</f>
        <v>001</v>
      </c>
      <c r="G34" s="23" t="str">
        <f>'GASTOS CONSOLIDADO'!F28</f>
        <v>Remuneración Adicional</v>
      </c>
      <c r="H34" s="5">
        <f>'GASTOS CONSOLIDADO'!G28</f>
        <v>0</v>
      </c>
      <c r="I34" s="5">
        <f>'GASTOS CONSOLIDADO'!H28</f>
        <v>0</v>
      </c>
      <c r="J34" s="5">
        <f>H34+I34</f>
        <v>0</v>
      </c>
      <c r="K34" s="5">
        <v>0</v>
      </c>
      <c r="L34" s="5">
        <v>0</v>
      </c>
      <c r="M34" s="5">
        <v>0</v>
      </c>
      <c r="N34" s="5">
        <v>0</v>
      </c>
      <c r="O34" s="5">
        <f t="shared" si="2"/>
        <v>0</v>
      </c>
      <c r="P34" s="5">
        <v>0</v>
      </c>
      <c r="Q34" s="5">
        <v>0</v>
      </c>
      <c r="R34" s="5"/>
      <c r="S34" s="5"/>
      <c r="T34" s="5">
        <f t="shared" si="3"/>
        <v>0</v>
      </c>
      <c r="U34" s="5">
        <f>J34-T34</f>
        <v>0</v>
      </c>
      <c r="V34" s="5">
        <v>0</v>
      </c>
      <c r="W34" s="5">
        <v>0</v>
      </c>
    </row>
    <row r="35" spans="1:23" s="83" customFormat="1" ht="15" hidden="1">
      <c r="A35" s="285"/>
      <c r="B35" s="101"/>
      <c r="C35" s="101"/>
      <c r="D35" s="101"/>
      <c r="E35" s="17"/>
      <c r="F35" s="17"/>
      <c r="G35" s="18"/>
      <c r="H35" s="21"/>
      <c r="I35" s="21"/>
      <c r="J35" s="21"/>
      <c r="K35" s="21"/>
      <c r="L35" s="21"/>
      <c r="M35" s="21"/>
      <c r="N35" s="21"/>
      <c r="O35" s="21">
        <f t="shared" si="2"/>
        <v>0</v>
      </c>
      <c r="P35" s="21"/>
      <c r="Q35" s="21"/>
      <c r="R35" s="21"/>
      <c r="S35" s="21"/>
      <c r="T35" s="21">
        <f t="shared" si="3"/>
        <v>0</v>
      </c>
      <c r="U35" s="21"/>
      <c r="V35" s="21"/>
      <c r="W35" s="21"/>
    </row>
    <row r="36" spans="1:23" s="98" customFormat="1" ht="15">
      <c r="A36" s="285"/>
      <c r="B36" s="43"/>
      <c r="C36" s="43">
        <f>'GASTOS CONSOLIDADO'!B30</f>
        <v>130</v>
      </c>
      <c r="D36" s="43"/>
      <c r="E36" s="1"/>
      <c r="F36" s="1"/>
      <c r="G36" s="13" t="str">
        <f>'GASTOS CONSOLIDADO'!F30</f>
        <v>Asignaciones Complementarias</v>
      </c>
      <c r="H36" s="3">
        <f>+H38+H39+H42+H43+H44</f>
        <v>57650183</v>
      </c>
      <c r="I36" s="3">
        <f aca="true" t="shared" si="9" ref="I36:W36">+I38+I39+I42+I43+I44</f>
        <v>0</v>
      </c>
      <c r="J36" s="3">
        <f t="shared" si="9"/>
        <v>57650183</v>
      </c>
      <c r="K36" s="3">
        <f t="shared" si="9"/>
        <v>0</v>
      </c>
      <c r="L36" s="3">
        <f t="shared" si="9"/>
        <v>1280896</v>
      </c>
      <c r="M36" s="3">
        <f t="shared" si="9"/>
        <v>1280896</v>
      </c>
      <c r="N36" s="3">
        <f t="shared" si="9"/>
        <v>1280896</v>
      </c>
      <c r="O36" s="3">
        <f t="shared" si="2"/>
        <v>3842688</v>
      </c>
      <c r="P36" s="3">
        <f t="shared" si="9"/>
        <v>1280896</v>
      </c>
      <c r="Q36" s="3">
        <f t="shared" si="9"/>
        <v>1280896</v>
      </c>
      <c r="R36" s="3">
        <f t="shared" si="9"/>
        <v>5580896</v>
      </c>
      <c r="S36" s="3">
        <f t="shared" si="9"/>
        <v>2361792</v>
      </c>
      <c r="T36" s="3">
        <f t="shared" si="3"/>
        <v>14347168</v>
      </c>
      <c r="U36" s="3">
        <f t="shared" si="9"/>
        <v>43303015</v>
      </c>
      <c r="V36" s="3">
        <f t="shared" si="9"/>
        <v>14347168</v>
      </c>
      <c r="W36" s="3">
        <f t="shared" si="9"/>
        <v>0</v>
      </c>
    </row>
    <row r="37" spans="1:23" s="98" customFormat="1" ht="15" hidden="1">
      <c r="A37" s="285"/>
      <c r="B37" s="100"/>
      <c r="C37" s="100"/>
      <c r="D37" s="100">
        <f>'GASTOS CONSOLIDADO'!C31</f>
        <v>131</v>
      </c>
      <c r="E37" s="2" t="str">
        <f>'GASTOS CONSOLIDADO'!D31</f>
        <v>30</v>
      </c>
      <c r="F37" s="2" t="str">
        <f>'GASTOS CONSOLIDADO'!E31</f>
        <v>001</v>
      </c>
      <c r="G37" s="23" t="str">
        <f>'GASTOS CONSOLIDADO'!F31</f>
        <v>Subsidio Familiar</v>
      </c>
      <c r="H37" s="5">
        <f>'GASTOS CONSOLIDADO'!G31</f>
        <v>0</v>
      </c>
      <c r="I37" s="5">
        <f>'GASTOS CONSOLIDADO'!H31</f>
        <v>0</v>
      </c>
      <c r="J37" s="5">
        <f aca="true" t="shared" si="10" ref="J37:J44">H37+I37</f>
        <v>0</v>
      </c>
      <c r="K37" s="5">
        <v>0</v>
      </c>
      <c r="L37" s="5">
        <v>0</v>
      </c>
      <c r="M37" s="5">
        <v>0</v>
      </c>
      <c r="N37" s="5">
        <v>0</v>
      </c>
      <c r="O37" s="5">
        <f t="shared" si="2"/>
        <v>0</v>
      </c>
      <c r="P37" s="5">
        <v>0</v>
      </c>
      <c r="Q37" s="5">
        <v>0</v>
      </c>
      <c r="R37" s="5"/>
      <c r="S37" s="5"/>
      <c r="T37" s="5">
        <f t="shared" si="3"/>
        <v>0</v>
      </c>
      <c r="U37" s="5">
        <f aca="true" t="shared" si="11" ref="U37:U44">J37-T37</f>
        <v>0</v>
      </c>
      <c r="V37" s="5">
        <f aca="true" t="shared" si="12" ref="V37:V44">+J37-U37</f>
        <v>0</v>
      </c>
      <c r="W37" s="5">
        <f aca="true" t="shared" si="13" ref="W37:W44">+T37-V37</f>
        <v>0</v>
      </c>
    </row>
    <row r="38" spans="1:23" s="98" customFormat="1" ht="15">
      <c r="A38" s="285"/>
      <c r="B38" s="100"/>
      <c r="C38" s="100"/>
      <c r="D38" s="100">
        <f>'GASTOS CONSOLIDADO'!C32</f>
        <v>133</v>
      </c>
      <c r="E38" s="2" t="str">
        <f>'GASTOS CONSOLIDADO'!D32</f>
        <v>30</v>
      </c>
      <c r="F38" s="2" t="str">
        <f>'GASTOS CONSOLIDADO'!E32</f>
        <v>001</v>
      </c>
      <c r="G38" s="23" t="str">
        <f>'GASTOS CONSOLIDADO'!F32</f>
        <v>Bonificaciones y Gratificaciones</v>
      </c>
      <c r="H38" s="5">
        <f>'GASTOS CONSOLIDADO'!G32</f>
        <v>8505000</v>
      </c>
      <c r="I38" s="5">
        <f>'GASTOS CONSOLIDADO'!H32</f>
        <v>0</v>
      </c>
      <c r="J38" s="5">
        <f t="shared" si="10"/>
        <v>8505000</v>
      </c>
      <c r="K38" s="5">
        <v>0</v>
      </c>
      <c r="L38" s="5">
        <v>0</v>
      </c>
      <c r="M38" s="5">
        <v>0</v>
      </c>
      <c r="N38" s="5">
        <v>0</v>
      </c>
      <c r="O38" s="5">
        <f t="shared" si="2"/>
        <v>0</v>
      </c>
      <c r="P38" s="5">
        <v>0</v>
      </c>
      <c r="Q38" s="5">
        <v>0</v>
      </c>
      <c r="R38" s="5">
        <f>+HOJA!D12</f>
        <v>4500000</v>
      </c>
      <c r="S38" s="5">
        <v>0</v>
      </c>
      <c r="T38" s="5">
        <f t="shared" si="3"/>
        <v>4500000</v>
      </c>
      <c r="U38" s="5">
        <f t="shared" si="11"/>
        <v>4005000</v>
      </c>
      <c r="V38" s="5">
        <f t="shared" si="12"/>
        <v>4500000</v>
      </c>
      <c r="W38" s="5">
        <f t="shared" si="13"/>
        <v>0</v>
      </c>
    </row>
    <row r="39" spans="1:23" s="98" customFormat="1" ht="15">
      <c r="A39" s="285"/>
      <c r="B39" s="100"/>
      <c r="C39" s="100"/>
      <c r="D39" s="100">
        <f>'GASTOS CONSOLIDADO'!C33</f>
        <v>134</v>
      </c>
      <c r="E39" s="2" t="str">
        <f>'GASTOS CONSOLIDADO'!D33</f>
        <v>30</v>
      </c>
      <c r="F39" s="2" t="str">
        <f>'GASTOS CONSOLIDADO'!E33</f>
        <v>001</v>
      </c>
      <c r="G39" s="23" t="str">
        <f>'GASTOS CONSOLIDADO'!F33</f>
        <v>Aporte Jubilatorio del Empleador</v>
      </c>
      <c r="H39" s="5">
        <f>'GASTOS CONSOLIDADO'!G33</f>
        <v>22141133</v>
      </c>
      <c r="I39" s="5">
        <f>'GASTOS CONSOLIDADO'!H33</f>
        <v>0</v>
      </c>
      <c r="J39" s="5">
        <f t="shared" si="10"/>
        <v>22141133</v>
      </c>
      <c r="K39" s="5">
        <v>0</v>
      </c>
      <c r="L39" s="5">
        <v>1280896</v>
      </c>
      <c r="M39" s="5">
        <v>1280896</v>
      </c>
      <c r="N39" s="5">
        <v>1280896</v>
      </c>
      <c r="O39" s="5">
        <f t="shared" si="2"/>
        <v>3842688</v>
      </c>
      <c r="P39" s="5">
        <v>1280896</v>
      </c>
      <c r="Q39" s="5">
        <v>1280896</v>
      </c>
      <c r="R39" s="5">
        <f>+HOJA!D11</f>
        <v>1080896</v>
      </c>
      <c r="S39" s="5">
        <f>+HOJA!D99</f>
        <v>2361792</v>
      </c>
      <c r="T39" s="5">
        <f t="shared" si="3"/>
        <v>9847168</v>
      </c>
      <c r="U39" s="5">
        <f t="shared" si="11"/>
        <v>12293965</v>
      </c>
      <c r="V39" s="5">
        <f t="shared" si="12"/>
        <v>9847168</v>
      </c>
      <c r="W39" s="5">
        <f t="shared" si="13"/>
        <v>0</v>
      </c>
    </row>
    <row r="40" spans="1:23" s="98" customFormat="1" ht="15" hidden="1">
      <c r="A40" s="285"/>
      <c r="B40" s="100"/>
      <c r="C40" s="100"/>
      <c r="D40" s="100">
        <f>'GASTOS CONSOLIDADO'!C34</f>
        <v>135</v>
      </c>
      <c r="E40" s="2" t="str">
        <f>'GASTOS CONSOLIDADO'!D34</f>
        <v>30</v>
      </c>
      <c r="F40" s="2" t="str">
        <f>'GASTOS CONSOLIDADO'!E34</f>
        <v>001</v>
      </c>
      <c r="G40" s="23" t="str">
        <f>'GASTOS CONSOLIDADO'!F34</f>
        <v>Bonificaciones por Ventas</v>
      </c>
      <c r="H40" s="5">
        <f>'GASTOS CONSOLIDADO'!G34</f>
        <v>0</v>
      </c>
      <c r="I40" s="5">
        <f>'GASTOS CONSOLIDADO'!H34</f>
        <v>0</v>
      </c>
      <c r="J40" s="5">
        <f t="shared" si="10"/>
        <v>0</v>
      </c>
      <c r="K40" s="5">
        <v>0</v>
      </c>
      <c r="L40" s="5">
        <v>0</v>
      </c>
      <c r="M40" s="5">
        <v>0</v>
      </c>
      <c r="N40" s="5">
        <v>0</v>
      </c>
      <c r="O40" s="5">
        <f t="shared" si="2"/>
        <v>0</v>
      </c>
      <c r="P40" s="5">
        <v>0</v>
      </c>
      <c r="Q40" s="5">
        <v>0</v>
      </c>
      <c r="R40" s="5"/>
      <c r="S40" s="5"/>
      <c r="T40" s="5">
        <f t="shared" si="3"/>
        <v>0</v>
      </c>
      <c r="U40" s="5">
        <f t="shared" si="11"/>
        <v>0</v>
      </c>
      <c r="V40" s="5">
        <f t="shared" si="12"/>
        <v>0</v>
      </c>
      <c r="W40" s="5">
        <f t="shared" si="13"/>
        <v>0</v>
      </c>
    </row>
    <row r="41" spans="1:23" s="98" customFormat="1" ht="15" hidden="1">
      <c r="A41" s="285"/>
      <c r="B41" s="100"/>
      <c r="C41" s="100"/>
      <c r="D41" s="100">
        <f>'GASTOS CONSOLIDADO'!C35</f>
        <v>136</v>
      </c>
      <c r="E41" s="2" t="str">
        <f>'GASTOS CONSOLIDADO'!D35</f>
        <v>30</v>
      </c>
      <c r="F41" s="2" t="str">
        <f>'GASTOS CONSOLIDADO'!E35</f>
        <v>001</v>
      </c>
      <c r="G41" s="23" t="str">
        <f>'GASTOS CONSOLIDADO'!F35</f>
        <v>Bonificaciones por Grado Académico</v>
      </c>
      <c r="H41" s="5">
        <f>'GASTOS CONSOLIDADO'!G35</f>
        <v>0</v>
      </c>
      <c r="I41" s="5">
        <f>'GASTOS CONSOLIDADO'!H35</f>
        <v>0</v>
      </c>
      <c r="J41" s="5">
        <f t="shared" si="10"/>
        <v>0</v>
      </c>
      <c r="K41" s="5">
        <v>0</v>
      </c>
      <c r="L41" s="5">
        <v>0</v>
      </c>
      <c r="M41" s="5">
        <v>0</v>
      </c>
      <c r="N41" s="5">
        <v>0</v>
      </c>
      <c r="O41" s="5">
        <f t="shared" si="2"/>
        <v>0</v>
      </c>
      <c r="P41" s="5">
        <v>0</v>
      </c>
      <c r="Q41" s="5">
        <v>0</v>
      </c>
      <c r="R41" s="5"/>
      <c r="S41" s="5"/>
      <c r="T41" s="5">
        <f t="shared" si="3"/>
        <v>0</v>
      </c>
      <c r="U41" s="5">
        <f t="shared" si="11"/>
        <v>0</v>
      </c>
      <c r="V41" s="5">
        <f t="shared" si="12"/>
        <v>0</v>
      </c>
      <c r="W41" s="5">
        <f t="shared" si="13"/>
        <v>0</v>
      </c>
    </row>
    <row r="42" spans="1:23" s="98" customFormat="1" ht="15">
      <c r="A42" s="285"/>
      <c r="B42" s="100"/>
      <c r="C42" s="100"/>
      <c r="D42" s="100">
        <v>135</v>
      </c>
      <c r="E42" s="2" t="s">
        <v>77</v>
      </c>
      <c r="F42" s="2" t="s">
        <v>21</v>
      </c>
      <c r="G42" s="23" t="s">
        <v>30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f t="shared" si="2"/>
        <v>0</v>
      </c>
      <c r="P42" s="5">
        <v>0</v>
      </c>
      <c r="Q42" s="5">
        <v>0</v>
      </c>
      <c r="R42" s="98">
        <v>0</v>
      </c>
      <c r="S42" s="5">
        <v>0</v>
      </c>
      <c r="T42" s="5">
        <f t="shared" si="3"/>
        <v>0</v>
      </c>
      <c r="U42" s="5">
        <v>0</v>
      </c>
      <c r="V42" s="5">
        <v>0</v>
      </c>
      <c r="W42" s="5">
        <v>0</v>
      </c>
    </row>
    <row r="43" spans="1:23" s="98" customFormat="1" ht="15">
      <c r="A43" s="285"/>
      <c r="B43" s="100"/>
      <c r="C43" s="100"/>
      <c r="D43" s="100">
        <v>136</v>
      </c>
      <c r="E43" s="2" t="s">
        <v>77</v>
      </c>
      <c r="F43" s="2" t="s">
        <v>21</v>
      </c>
      <c r="G43" s="23" t="s">
        <v>184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f t="shared" si="2"/>
        <v>0</v>
      </c>
      <c r="P43" s="5">
        <v>0</v>
      </c>
      <c r="Q43" s="5">
        <v>0</v>
      </c>
      <c r="R43" s="5">
        <v>0</v>
      </c>
      <c r="S43" s="5">
        <v>0</v>
      </c>
      <c r="T43" s="5">
        <f t="shared" si="3"/>
        <v>0</v>
      </c>
      <c r="U43" s="5">
        <v>0</v>
      </c>
      <c r="V43" s="5">
        <v>0</v>
      </c>
      <c r="W43" s="5">
        <v>0</v>
      </c>
    </row>
    <row r="44" spans="1:23" s="98" customFormat="1" ht="15">
      <c r="A44" s="285"/>
      <c r="B44" s="100"/>
      <c r="C44" s="100"/>
      <c r="D44" s="100">
        <f>'GASTOS CONSOLIDADO'!C36</f>
        <v>137</v>
      </c>
      <c r="E44" s="2" t="str">
        <f>'GASTOS CONSOLIDADO'!D36</f>
        <v>30</v>
      </c>
      <c r="F44" s="2" t="str">
        <f>'GASTOS CONSOLIDADO'!E36</f>
        <v>001</v>
      </c>
      <c r="G44" s="23" t="str">
        <f>'GASTOS CONSOLIDADO'!F36</f>
        <v>Gratificaciones por Servicios Especiales</v>
      </c>
      <c r="H44" s="5">
        <f>'GASTOS CONSOLIDADO'!G36</f>
        <v>27004050</v>
      </c>
      <c r="I44" s="5">
        <f>'GASTOS CONSOLIDADO'!H36</f>
        <v>0</v>
      </c>
      <c r="J44" s="5">
        <f t="shared" si="10"/>
        <v>27004050</v>
      </c>
      <c r="K44" s="5">
        <v>0</v>
      </c>
      <c r="L44" s="5">
        <v>0</v>
      </c>
      <c r="M44" s="5">
        <v>0</v>
      </c>
      <c r="N44" s="5">
        <v>0</v>
      </c>
      <c r="O44" s="5">
        <f t="shared" si="2"/>
        <v>0</v>
      </c>
      <c r="P44" s="5">
        <v>0</v>
      </c>
      <c r="Q44" s="5">
        <v>0</v>
      </c>
      <c r="R44" s="5">
        <v>0</v>
      </c>
      <c r="S44" s="5">
        <v>0</v>
      </c>
      <c r="T44" s="5">
        <f t="shared" si="3"/>
        <v>0</v>
      </c>
      <c r="U44" s="5">
        <f t="shared" si="11"/>
        <v>27004050</v>
      </c>
      <c r="V44" s="5">
        <f t="shared" si="12"/>
        <v>0</v>
      </c>
      <c r="W44" s="5">
        <f t="shared" si="13"/>
        <v>0</v>
      </c>
    </row>
    <row r="45" spans="1:23" s="83" customFormat="1" ht="15">
      <c r="A45" s="285"/>
      <c r="B45" s="101"/>
      <c r="C45" s="101"/>
      <c r="D45" s="101"/>
      <c r="E45" s="17"/>
      <c r="F45" s="17"/>
      <c r="G45" s="18"/>
      <c r="H45" s="21"/>
      <c r="I45" s="21"/>
      <c r="J45" s="21"/>
      <c r="K45" s="21"/>
      <c r="L45" s="21"/>
      <c r="M45" s="21"/>
      <c r="N45" s="21"/>
      <c r="O45" s="21">
        <f t="shared" si="2"/>
        <v>0</v>
      </c>
      <c r="P45" s="21"/>
      <c r="Q45" s="21"/>
      <c r="R45" s="21"/>
      <c r="S45" s="21"/>
      <c r="T45" s="21">
        <f t="shared" si="3"/>
        <v>0</v>
      </c>
      <c r="U45" s="21"/>
      <c r="V45" s="21"/>
      <c r="W45" s="21"/>
    </row>
    <row r="46" spans="1:23" s="98" customFormat="1" ht="15">
      <c r="A46" s="285"/>
      <c r="B46" s="43"/>
      <c r="C46" s="43">
        <f>'GASTOS CONSOLIDADO'!B38</f>
        <v>140</v>
      </c>
      <c r="D46" s="43"/>
      <c r="E46" s="1"/>
      <c r="F46" s="1"/>
      <c r="G46" s="13" t="str">
        <f>'GASTOS CONSOLIDADO'!F38</f>
        <v>Personal Contratado</v>
      </c>
      <c r="H46" s="3">
        <f>+H53+H54+H55+H56+H59</f>
        <v>216240000</v>
      </c>
      <c r="I46" s="3">
        <f aca="true" t="shared" si="14" ref="I46:W46">+I53+I54+I55+I56+I59</f>
        <v>34418998</v>
      </c>
      <c r="J46" s="3">
        <f t="shared" si="14"/>
        <v>250658998</v>
      </c>
      <c r="K46" s="3">
        <f t="shared" si="14"/>
        <v>0</v>
      </c>
      <c r="L46" s="3">
        <f t="shared" si="14"/>
        <v>8396812</v>
      </c>
      <c r="M46" s="3">
        <f t="shared" si="14"/>
        <v>7196812</v>
      </c>
      <c r="N46" s="3">
        <f t="shared" si="14"/>
        <v>32000000</v>
      </c>
      <c r="O46" s="3">
        <f t="shared" si="2"/>
        <v>47593624</v>
      </c>
      <c r="P46" s="3">
        <f t="shared" si="14"/>
        <v>34690436</v>
      </c>
      <c r="Q46" s="3">
        <f t="shared" si="14"/>
        <v>11200000</v>
      </c>
      <c r="R46" s="3">
        <f t="shared" si="14"/>
        <v>25600000</v>
      </c>
      <c r="S46" s="3">
        <f t="shared" si="14"/>
        <v>28950000</v>
      </c>
      <c r="T46" s="3">
        <f t="shared" si="3"/>
        <v>148034060</v>
      </c>
      <c r="U46" s="3">
        <f t="shared" si="14"/>
        <v>138374938</v>
      </c>
      <c r="V46" s="3">
        <f t="shared" si="14"/>
        <v>112284060</v>
      </c>
      <c r="W46" s="3">
        <f t="shared" si="14"/>
        <v>0</v>
      </c>
    </row>
    <row r="47" spans="1:23" s="98" customFormat="1" ht="15" hidden="1">
      <c r="A47" s="285"/>
      <c r="B47" s="100"/>
      <c r="C47" s="100"/>
      <c r="D47" s="100"/>
      <c r="E47" s="2"/>
      <c r="F47" s="2"/>
      <c r="G47" s="23"/>
      <c r="H47" s="5"/>
      <c r="I47" s="5"/>
      <c r="J47" s="5"/>
      <c r="K47" s="5"/>
      <c r="L47" s="5"/>
      <c r="M47" s="5"/>
      <c r="N47" s="5"/>
      <c r="O47" s="5">
        <f t="shared" si="2"/>
        <v>0</v>
      </c>
      <c r="P47" s="5"/>
      <c r="Q47" s="5"/>
      <c r="R47" s="5"/>
      <c r="S47" s="5"/>
      <c r="T47" s="5">
        <f t="shared" si="3"/>
        <v>0</v>
      </c>
      <c r="U47" s="5"/>
      <c r="V47" s="5"/>
      <c r="W47" s="5"/>
    </row>
    <row r="48" spans="1:23" s="98" customFormat="1" ht="15" hidden="1">
      <c r="A48" s="285"/>
      <c r="B48" s="100"/>
      <c r="C48" s="100"/>
      <c r="D48" s="100" t="e">
        <f>'GASTOS CONSOLIDADO'!#REF!</f>
        <v>#REF!</v>
      </c>
      <c r="E48" s="2" t="e">
        <f>'GASTOS CONSOLIDADO'!#REF!</f>
        <v>#REF!</v>
      </c>
      <c r="F48" s="2" t="e">
        <f>'GASTOS CONSOLIDADO'!#REF!</f>
        <v>#REF!</v>
      </c>
      <c r="G48" s="23" t="e">
        <f>'GASTOS CONSOLIDADO'!#REF!</f>
        <v>#REF!</v>
      </c>
      <c r="H48" s="5" t="e">
        <f>'GASTOS CONSOLIDADO'!#REF!</f>
        <v>#REF!</v>
      </c>
      <c r="I48" s="5" t="e">
        <f>'GASTOS CONSOLIDADO'!#REF!</f>
        <v>#REF!</v>
      </c>
      <c r="J48" s="5" t="e">
        <f aca="true" t="shared" si="15" ref="J48:J58">H48+I48</f>
        <v>#REF!</v>
      </c>
      <c r="K48" s="5">
        <v>0</v>
      </c>
      <c r="L48" s="5">
        <v>0</v>
      </c>
      <c r="M48" s="5">
        <v>0</v>
      </c>
      <c r="N48" s="5">
        <v>0</v>
      </c>
      <c r="O48" s="5">
        <f t="shared" si="2"/>
        <v>0</v>
      </c>
      <c r="P48" s="5">
        <v>0</v>
      </c>
      <c r="Q48" s="5">
        <v>0</v>
      </c>
      <c r="R48" s="5"/>
      <c r="S48" s="5"/>
      <c r="T48" s="5">
        <f t="shared" si="3"/>
        <v>0</v>
      </c>
      <c r="U48" s="5" t="e">
        <f>J48-T48</f>
        <v>#REF!</v>
      </c>
      <c r="V48" s="5">
        <v>0</v>
      </c>
      <c r="W48" s="5">
        <v>0</v>
      </c>
    </row>
    <row r="49" spans="1:23" s="98" customFormat="1" ht="15" hidden="1">
      <c r="A49" s="285"/>
      <c r="B49" s="100"/>
      <c r="C49" s="100"/>
      <c r="D49" s="100" t="e">
        <f>'GASTOS CONSOLIDADO'!#REF!</f>
        <v>#REF!</v>
      </c>
      <c r="E49" s="2" t="e">
        <f>'GASTOS CONSOLIDADO'!#REF!</f>
        <v>#REF!</v>
      </c>
      <c r="F49" s="2" t="e">
        <f>'GASTOS CONSOLIDADO'!#REF!</f>
        <v>#REF!</v>
      </c>
      <c r="G49" s="23" t="e">
        <f>'GASTOS CONSOLIDADO'!#REF!</f>
        <v>#REF!</v>
      </c>
      <c r="H49" s="5" t="e">
        <f>'GASTOS CONSOLIDADO'!#REF!</f>
        <v>#REF!</v>
      </c>
      <c r="I49" s="5" t="e">
        <f>'GASTOS CONSOLIDADO'!#REF!</f>
        <v>#REF!</v>
      </c>
      <c r="J49" s="5" t="e">
        <f t="shared" si="15"/>
        <v>#REF!</v>
      </c>
      <c r="K49" s="5">
        <v>0</v>
      </c>
      <c r="L49" s="5">
        <v>0</v>
      </c>
      <c r="M49" s="5">
        <v>0</v>
      </c>
      <c r="N49" s="5">
        <v>0</v>
      </c>
      <c r="O49" s="5">
        <f t="shared" si="2"/>
        <v>0</v>
      </c>
      <c r="P49" s="5">
        <v>0</v>
      </c>
      <c r="Q49" s="5">
        <v>0</v>
      </c>
      <c r="R49" s="5"/>
      <c r="S49" s="5"/>
      <c r="T49" s="5">
        <f t="shared" si="3"/>
        <v>0</v>
      </c>
      <c r="U49" s="5" t="e">
        <f>J49-T49</f>
        <v>#REF!</v>
      </c>
      <c r="V49" s="5">
        <v>0</v>
      </c>
      <c r="W49" s="5">
        <v>0</v>
      </c>
    </row>
    <row r="50" spans="1:23" s="98" customFormat="1" ht="15" hidden="1">
      <c r="A50" s="285"/>
      <c r="B50" s="100"/>
      <c r="C50" s="100"/>
      <c r="D50" s="100">
        <f>'GASTOS CONSOLIDADO'!C40</f>
        <v>142</v>
      </c>
      <c r="E50" s="2" t="str">
        <f>'GASTOS CONSOLIDADO'!D40</f>
        <v>30</v>
      </c>
      <c r="F50" s="2" t="str">
        <f>'GASTOS CONSOLIDADO'!E40</f>
        <v>007</v>
      </c>
      <c r="G50" s="23" t="str">
        <f>'GASTOS CONSOLIDADO'!F40</f>
        <v>Contratación de Personal de Salud</v>
      </c>
      <c r="H50" s="5">
        <f>'GASTOS CONSOLIDADO'!G40</f>
        <v>0</v>
      </c>
      <c r="I50" s="5">
        <f>'GASTOS CONSOLIDADO'!H40</f>
        <v>0</v>
      </c>
      <c r="J50" s="5">
        <f t="shared" si="15"/>
        <v>0</v>
      </c>
      <c r="K50" s="5">
        <v>0</v>
      </c>
      <c r="L50" s="5">
        <v>0</v>
      </c>
      <c r="M50" s="5">
        <v>0</v>
      </c>
      <c r="N50" s="5">
        <v>0</v>
      </c>
      <c r="O50" s="5">
        <f t="shared" si="2"/>
        <v>0</v>
      </c>
      <c r="P50" s="5">
        <v>0</v>
      </c>
      <c r="Q50" s="5">
        <v>0</v>
      </c>
      <c r="R50" s="5"/>
      <c r="S50" s="5"/>
      <c r="T50" s="5">
        <f t="shared" si="3"/>
        <v>0</v>
      </c>
      <c r="U50" s="5">
        <f>J50-T50</f>
        <v>0</v>
      </c>
      <c r="V50" s="5">
        <v>0</v>
      </c>
      <c r="W50" s="5">
        <v>0</v>
      </c>
    </row>
    <row r="51" spans="1:23" s="98" customFormat="1" ht="15" hidden="1">
      <c r="A51" s="285"/>
      <c r="B51" s="100"/>
      <c r="C51" s="100"/>
      <c r="D51" s="100"/>
      <c r="E51" s="2"/>
      <c r="F51" s="2"/>
      <c r="G51" s="23"/>
      <c r="H51" s="5"/>
      <c r="I51" s="5"/>
      <c r="J51" s="5"/>
      <c r="K51" s="5"/>
      <c r="L51" s="5"/>
      <c r="M51" s="5"/>
      <c r="N51" s="5"/>
      <c r="O51" s="5">
        <f t="shared" si="2"/>
        <v>0</v>
      </c>
      <c r="P51" s="5"/>
      <c r="Q51" s="5"/>
      <c r="R51" s="5"/>
      <c r="S51" s="5"/>
      <c r="T51" s="5">
        <f t="shared" si="3"/>
        <v>0</v>
      </c>
      <c r="U51" s="5"/>
      <c r="V51" s="5"/>
      <c r="W51" s="5"/>
    </row>
    <row r="52" spans="1:23" s="98" customFormat="1" ht="15" hidden="1">
      <c r="A52" s="285"/>
      <c r="B52" s="100"/>
      <c r="C52" s="100"/>
      <c r="D52" s="100">
        <f>'GASTOS CONSOLIDADO'!C42</f>
        <v>144</v>
      </c>
      <c r="E52" s="2" t="str">
        <f>'GASTOS CONSOLIDADO'!D42</f>
        <v>30</v>
      </c>
      <c r="F52" s="2" t="str">
        <f>'GASTOS CONSOLIDADO'!E42</f>
        <v>008</v>
      </c>
      <c r="G52" s="23" t="str">
        <f>'GASTOS CONSOLIDADO'!F42</f>
        <v>Jornales</v>
      </c>
      <c r="H52" s="5">
        <f>'GASTOS CONSOLIDADO'!G42</f>
        <v>0</v>
      </c>
      <c r="I52" s="5">
        <f>'GASTOS CONSOLIDADO'!H42</f>
        <v>0</v>
      </c>
      <c r="J52" s="5">
        <f t="shared" si="15"/>
        <v>0</v>
      </c>
      <c r="K52" s="5">
        <v>0</v>
      </c>
      <c r="L52" s="5">
        <v>0</v>
      </c>
      <c r="M52" s="5">
        <v>0</v>
      </c>
      <c r="N52" s="5">
        <v>0</v>
      </c>
      <c r="O52" s="5">
        <f t="shared" si="2"/>
        <v>0</v>
      </c>
      <c r="P52" s="5">
        <v>0</v>
      </c>
      <c r="Q52" s="5">
        <v>0</v>
      </c>
      <c r="R52" s="5"/>
      <c r="S52" s="5"/>
      <c r="T52" s="5">
        <f t="shared" si="3"/>
        <v>0</v>
      </c>
      <c r="U52" s="5">
        <v>0</v>
      </c>
      <c r="V52" s="5">
        <v>0</v>
      </c>
      <c r="W52" s="5">
        <v>0</v>
      </c>
    </row>
    <row r="53" spans="1:23" s="98" customFormat="1" ht="15">
      <c r="A53" s="285"/>
      <c r="B53" s="100"/>
      <c r="C53" s="100"/>
      <c r="D53" s="100">
        <v>141</v>
      </c>
      <c r="E53" s="2" t="s">
        <v>77</v>
      </c>
      <c r="F53" s="2" t="s">
        <v>21</v>
      </c>
      <c r="G53" s="23" t="s">
        <v>528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f t="shared" si="2"/>
        <v>0</v>
      </c>
      <c r="P53" s="5">
        <v>0</v>
      </c>
      <c r="Q53" s="5">
        <v>0</v>
      </c>
      <c r="R53" s="5">
        <v>0</v>
      </c>
      <c r="S53" s="5">
        <v>0</v>
      </c>
      <c r="T53" s="5">
        <f t="shared" si="3"/>
        <v>0</v>
      </c>
      <c r="U53" s="5">
        <v>0</v>
      </c>
      <c r="V53" s="5">
        <v>0</v>
      </c>
      <c r="W53" s="5">
        <v>0</v>
      </c>
    </row>
    <row r="54" spans="1:23" s="98" customFormat="1" ht="15">
      <c r="A54" s="285"/>
      <c r="B54" s="100"/>
      <c r="C54" s="100"/>
      <c r="D54" s="100">
        <v>142</v>
      </c>
      <c r="E54" s="2" t="s">
        <v>77</v>
      </c>
      <c r="F54" s="2" t="s">
        <v>33</v>
      </c>
      <c r="G54" s="23" t="s">
        <v>523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f t="shared" si="2"/>
        <v>0</v>
      </c>
      <c r="P54" s="5">
        <v>0</v>
      </c>
      <c r="Q54" s="5">
        <v>0</v>
      </c>
      <c r="R54" s="5">
        <v>0</v>
      </c>
      <c r="S54" s="5">
        <v>0</v>
      </c>
      <c r="T54" s="5">
        <f t="shared" si="3"/>
        <v>0</v>
      </c>
      <c r="U54" s="5">
        <v>0</v>
      </c>
      <c r="V54" s="5">
        <v>0</v>
      </c>
      <c r="W54" s="5">
        <v>0</v>
      </c>
    </row>
    <row r="55" spans="1:23" s="98" customFormat="1" ht="15">
      <c r="A55" s="285"/>
      <c r="B55" s="100"/>
      <c r="C55" s="100"/>
      <c r="D55" s="100">
        <f>'GASTOS CONSOLIDADO'!C43</f>
        <v>144</v>
      </c>
      <c r="E55" s="2" t="str">
        <f>'GASTOS CONSOLIDADO'!D43</f>
        <v>30</v>
      </c>
      <c r="F55" s="2" t="str">
        <f>'GASTOS CONSOLIDADO'!E43</f>
        <v>007</v>
      </c>
      <c r="G55" s="23" t="str">
        <f>'GASTOS CONSOLIDADO'!F43</f>
        <v>Jornales</v>
      </c>
      <c r="H55" s="5">
        <f>'GASTOS CONSOLIDADO'!G43</f>
        <v>36000000</v>
      </c>
      <c r="I55" s="5">
        <f>'GASTOS CONSOLIDADO'!H43</f>
        <v>0</v>
      </c>
      <c r="J55" s="5">
        <f t="shared" si="15"/>
        <v>36000000</v>
      </c>
      <c r="K55" s="5">
        <v>0</v>
      </c>
      <c r="L55" s="5">
        <v>0</v>
      </c>
      <c r="M55" s="5">
        <v>0</v>
      </c>
      <c r="N55" s="5">
        <v>0</v>
      </c>
      <c r="O55" s="5">
        <f t="shared" si="2"/>
        <v>0</v>
      </c>
      <c r="P55" s="5">
        <v>0</v>
      </c>
      <c r="Q55" s="5">
        <v>0</v>
      </c>
      <c r="S55" s="5">
        <v>0</v>
      </c>
      <c r="T55" s="5">
        <f t="shared" si="3"/>
        <v>0</v>
      </c>
      <c r="U55" s="5">
        <f>J55-T55</f>
        <v>36000000</v>
      </c>
      <c r="V55" s="5">
        <f>+J55-U55</f>
        <v>0</v>
      </c>
      <c r="W55" s="5">
        <v>0</v>
      </c>
    </row>
    <row r="56" spans="1:23" s="98" customFormat="1" ht="15">
      <c r="A56" s="285"/>
      <c r="B56" s="100"/>
      <c r="C56" s="100"/>
      <c r="D56" s="100">
        <f>'GASTOS CONSOLIDADO'!C44</f>
        <v>144</v>
      </c>
      <c r="E56" s="2" t="str">
        <f>'GASTOS CONSOLIDADO'!D44</f>
        <v>30</v>
      </c>
      <c r="F56" s="2" t="str">
        <f>'GASTOS CONSOLIDADO'!E44</f>
        <v>001</v>
      </c>
      <c r="G56" s="23" t="str">
        <f>'GASTOS CONSOLIDADO'!F44</f>
        <v>Jornales</v>
      </c>
      <c r="H56" s="5">
        <f>'GASTOS CONSOLIDADO'!G44</f>
        <v>84240000</v>
      </c>
      <c r="I56" s="5">
        <f>'GASTOS CONSOLIDADO'!H44</f>
        <v>19458563</v>
      </c>
      <c r="J56" s="5">
        <f t="shared" si="15"/>
        <v>103698563</v>
      </c>
      <c r="K56" s="5">
        <v>0</v>
      </c>
      <c r="L56" s="5">
        <v>8396812</v>
      </c>
      <c r="M56" s="5">
        <v>7196812</v>
      </c>
      <c r="N56" s="5">
        <v>9000000</v>
      </c>
      <c r="O56" s="5">
        <f t="shared" si="2"/>
        <v>24593624</v>
      </c>
      <c r="P56" s="5">
        <v>21690436</v>
      </c>
      <c r="Q56" s="5">
        <v>11200000</v>
      </c>
      <c r="R56" s="5">
        <f>+HOJA!D13</f>
        <v>8100000</v>
      </c>
      <c r="S56" s="5">
        <f>+HOJA!D101</f>
        <v>10700000</v>
      </c>
      <c r="T56" s="5">
        <f t="shared" si="3"/>
        <v>76284060</v>
      </c>
      <c r="U56" s="5">
        <f>J56-T56</f>
        <v>27414503</v>
      </c>
      <c r="V56" s="5">
        <f>+J56-U56</f>
        <v>76284060</v>
      </c>
      <c r="W56" s="5">
        <v>0</v>
      </c>
    </row>
    <row r="57" spans="1:23" s="98" customFormat="1" ht="15" hidden="1">
      <c r="A57" s="285"/>
      <c r="B57" s="100"/>
      <c r="C57" s="100"/>
      <c r="D57" s="100"/>
      <c r="E57" s="2"/>
      <c r="F57" s="2"/>
      <c r="G57" s="23"/>
      <c r="H57" s="5"/>
      <c r="I57" s="5"/>
      <c r="J57" s="5"/>
      <c r="K57" s="5"/>
      <c r="L57" s="5"/>
      <c r="M57" s="5"/>
      <c r="N57" s="5"/>
      <c r="O57" s="5">
        <f t="shared" si="2"/>
        <v>0</v>
      </c>
      <c r="P57" s="5"/>
      <c r="Q57" s="5"/>
      <c r="R57" s="5"/>
      <c r="S57" s="5"/>
      <c r="T57" s="5">
        <f t="shared" si="3"/>
        <v>0</v>
      </c>
      <c r="U57" s="5"/>
      <c r="V57" s="5">
        <f>+J57-U57</f>
        <v>0</v>
      </c>
      <c r="W57" s="5">
        <v>0</v>
      </c>
    </row>
    <row r="58" spans="1:23" s="98" customFormat="1" ht="15" hidden="1">
      <c r="A58" s="285"/>
      <c r="B58" s="100"/>
      <c r="C58" s="100"/>
      <c r="D58" s="100">
        <f>'GASTOS CONSOLIDADO'!C46</f>
        <v>145</v>
      </c>
      <c r="E58" s="2" t="str">
        <f>'GASTOS CONSOLIDADO'!D46</f>
        <v>30</v>
      </c>
      <c r="F58" s="2" t="str">
        <f>'GASTOS CONSOLIDADO'!E46</f>
        <v>011</v>
      </c>
      <c r="G58" s="23" t="str">
        <f>'GASTOS CONSOLIDADO'!F46</f>
        <v>Honorarios Profesionales</v>
      </c>
      <c r="H58" s="5">
        <f>'GASTOS CONSOLIDADO'!G46</f>
        <v>0</v>
      </c>
      <c r="I58" s="5">
        <f>'GASTOS CONSOLIDADO'!H46</f>
        <v>0</v>
      </c>
      <c r="J58" s="5">
        <f t="shared" si="15"/>
        <v>0</v>
      </c>
      <c r="K58" s="5">
        <v>0</v>
      </c>
      <c r="L58" s="5">
        <v>0</v>
      </c>
      <c r="M58" s="5">
        <v>0</v>
      </c>
      <c r="N58" s="5">
        <v>0</v>
      </c>
      <c r="O58" s="5">
        <f t="shared" si="2"/>
        <v>0</v>
      </c>
      <c r="P58" s="5">
        <v>0</v>
      </c>
      <c r="Q58" s="5">
        <v>0</v>
      </c>
      <c r="R58" s="5"/>
      <c r="S58" s="5"/>
      <c r="T58" s="5">
        <f t="shared" si="3"/>
        <v>0</v>
      </c>
      <c r="U58" s="5">
        <v>0</v>
      </c>
      <c r="V58" s="5">
        <f>+J58-U58</f>
        <v>0</v>
      </c>
      <c r="W58" s="5">
        <v>0</v>
      </c>
    </row>
    <row r="59" spans="1:23" s="98" customFormat="1" ht="15">
      <c r="A59" s="285"/>
      <c r="B59" s="100"/>
      <c r="C59" s="100"/>
      <c r="D59" s="100">
        <v>145</v>
      </c>
      <c r="E59" s="2" t="s">
        <v>77</v>
      </c>
      <c r="F59" s="2" t="s">
        <v>21</v>
      </c>
      <c r="G59" s="23" t="s">
        <v>187</v>
      </c>
      <c r="H59" s="5">
        <v>96000000</v>
      </c>
      <c r="I59" s="5">
        <v>14960435</v>
      </c>
      <c r="J59" s="5">
        <v>110960435</v>
      </c>
      <c r="K59" s="5">
        <v>0</v>
      </c>
      <c r="L59" s="5">
        <v>0</v>
      </c>
      <c r="M59" s="5">
        <v>0</v>
      </c>
      <c r="N59" s="5">
        <v>23000000</v>
      </c>
      <c r="O59" s="5">
        <f t="shared" si="2"/>
        <v>23000000</v>
      </c>
      <c r="P59" s="5">
        <v>13000000</v>
      </c>
      <c r="Q59" s="5">
        <v>0</v>
      </c>
      <c r="R59" s="5">
        <f>+HOJA!D15</f>
        <v>17500000</v>
      </c>
      <c r="S59" s="5">
        <f>+HOJA!D104</f>
        <v>18250000</v>
      </c>
      <c r="T59" s="5">
        <f t="shared" si="3"/>
        <v>71750000</v>
      </c>
      <c r="U59" s="5">
        <v>74960435</v>
      </c>
      <c r="V59" s="5">
        <v>36000000</v>
      </c>
      <c r="W59" s="5"/>
    </row>
    <row r="60" spans="1:23" s="83" customFormat="1" ht="15">
      <c r="A60" s="285"/>
      <c r="B60" s="101"/>
      <c r="C60" s="101"/>
      <c r="D60" s="101"/>
      <c r="E60" s="17"/>
      <c r="F60" s="17"/>
      <c r="G60" s="18"/>
      <c r="H60" s="21"/>
      <c r="I60" s="21"/>
      <c r="J60" s="21"/>
      <c r="K60" s="21"/>
      <c r="L60" s="21"/>
      <c r="M60" s="21"/>
      <c r="N60" s="21"/>
      <c r="O60" s="21">
        <f t="shared" si="2"/>
        <v>0</v>
      </c>
      <c r="P60" s="21"/>
      <c r="Q60" s="21"/>
      <c r="R60" s="21"/>
      <c r="S60" s="21"/>
      <c r="T60" s="21">
        <f t="shared" si="3"/>
        <v>0</v>
      </c>
      <c r="U60" s="21"/>
      <c r="V60" s="21"/>
      <c r="W60" s="21"/>
    </row>
    <row r="61" spans="1:23" s="98" customFormat="1" ht="15">
      <c r="A61" s="285"/>
      <c r="B61" s="43"/>
      <c r="C61" s="43">
        <f>'GASTOS CONSOLIDADO'!B49</f>
        <v>190</v>
      </c>
      <c r="D61" s="43"/>
      <c r="E61" s="1"/>
      <c r="F61" s="1"/>
      <c r="G61" s="13" t="str">
        <f>'GASTOS CONSOLIDADO'!F49</f>
        <v>Otros Gastos del Personal</v>
      </c>
      <c r="H61" s="3">
        <f>+H63+H64</f>
        <v>20000000</v>
      </c>
      <c r="I61" s="3">
        <f aca="true" t="shared" si="16" ref="I61:W61">+I63+I64</f>
        <v>0</v>
      </c>
      <c r="J61" s="3">
        <f t="shared" si="16"/>
        <v>20000000</v>
      </c>
      <c r="K61" s="3">
        <f t="shared" si="16"/>
        <v>0</v>
      </c>
      <c r="L61" s="3">
        <f t="shared" si="16"/>
        <v>0</v>
      </c>
      <c r="M61" s="3">
        <f t="shared" si="16"/>
        <v>0</v>
      </c>
      <c r="N61" s="3">
        <f t="shared" si="16"/>
        <v>0</v>
      </c>
      <c r="O61" s="3">
        <f t="shared" si="2"/>
        <v>0</v>
      </c>
      <c r="P61" s="3">
        <f t="shared" si="16"/>
        <v>0</v>
      </c>
      <c r="Q61" s="3">
        <f t="shared" si="16"/>
        <v>1750000</v>
      </c>
      <c r="R61" s="3">
        <f>+R63+R64</f>
        <v>6588474</v>
      </c>
      <c r="S61" s="3">
        <f t="shared" si="16"/>
        <v>0</v>
      </c>
      <c r="T61" s="3">
        <f t="shared" si="3"/>
        <v>8338474</v>
      </c>
      <c r="U61" s="3">
        <f t="shared" si="16"/>
        <v>18250000</v>
      </c>
      <c r="V61" s="3">
        <f t="shared" si="16"/>
        <v>1750000</v>
      </c>
      <c r="W61" s="3">
        <f t="shared" si="16"/>
        <v>0</v>
      </c>
    </row>
    <row r="62" spans="1:23" s="98" customFormat="1" ht="15" hidden="1">
      <c r="A62" s="285"/>
      <c r="B62" s="100"/>
      <c r="C62" s="100"/>
      <c r="D62" s="100"/>
      <c r="E62" s="2"/>
      <c r="F62" s="2"/>
      <c r="G62" s="23"/>
      <c r="H62" s="5"/>
      <c r="I62" s="5"/>
      <c r="J62" s="5"/>
      <c r="K62" s="5"/>
      <c r="L62" s="5"/>
      <c r="M62" s="5"/>
      <c r="N62" s="5"/>
      <c r="O62" s="5">
        <f t="shared" si="2"/>
        <v>0</v>
      </c>
      <c r="P62" s="5"/>
      <c r="Q62" s="5"/>
      <c r="R62" s="5"/>
      <c r="S62" s="5"/>
      <c r="T62" s="5">
        <f t="shared" si="3"/>
        <v>0</v>
      </c>
      <c r="U62" s="5"/>
      <c r="V62" s="5"/>
      <c r="W62" s="5"/>
    </row>
    <row r="63" spans="1:23" s="98" customFormat="1" ht="15">
      <c r="A63" s="285"/>
      <c r="B63" s="100"/>
      <c r="C63" s="100"/>
      <c r="D63" s="100">
        <f>'GASTOS CONSOLIDADO'!C51</f>
        <v>199</v>
      </c>
      <c r="E63" s="2" t="str">
        <f>'GASTOS CONSOLIDADO'!D51</f>
        <v>30</v>
      </c>
      <c r="F63" s="2" t="str">
        <f>'GASTOS CONSOLIDADO'!E51</f>
        <v>001</v>
      </c>
      <c r="G63" s="23" t="str">
        <f>'GASTOS CONSOLIDADO'!F51</f>
        <v>Otros Gastos del Personal</v>
      </c>
      <c r="H63" s="5">
        <v>0</v>
      </c>
      <c r="I63" s="5">
        <f>'GASTOS CONSOLIDADO'!H51</f>
        <v>0</v>
      </c>
      <c r="J63" s="5">
        <f>H63+I63</f>
        <v>0</v>
      </c>
      <c r="K63" s="5">
        <v>0</v>
      </c>
      <c r="L63" s="5">
        <v>0</v>
      </c>
      <c r="M63" s="5">
        <v>0</v>
      </c>
      <c r="N63" s="5">
        <v>0</v>
      </c>
      <c r="O63" s="5">
        <f t="shared" si="2"/>
        <v>0</v>
      </c>
      <c r="P63" s="5">
        <v>0</v>
      </c>
      <c r="Q63" s="5">
        <v>0</v>
      </c>
      <c r="R63" s="5">
        <v>0</v>
      </c>
      <c r="S63" s="5">
        <v>0</v>
      </c>
      <c r="T63" s="5">
        <f t="shared" si="3"/>
        <v>0</v>
      </c>
      <c r="U63" s="5">
        <v>0</v>
      </c>
      <c r="V63" s="5"/>
      <c r="W63" s="5">
        <f>+T63-V63</f>
        <v>0</v>
      </c>
    </row>
    <row r="64" spans="1:23" s="98" customFormat="1" ht="15">
      <c r="A64" s="285"/>
      <c r="B64" s="100"/>
      <c r="C64" s="100"/>
      <c r="D64" s="100">
        <v>199</v>
      </c>
      <c r="E64" s="2" t="s">
        <v>77</v>
      </c>
      <c r="F64" s="2" t="s">
        <v>21</v>
      </c>
      <c r="G64" s="23" t="s">
        <v>188</v>
      </c>
      <c r="H64" s="5">
        <v>20000000</v>
      </c>
      <c r="I64" s="5">
        <v>0</v>
      </c>
      <c r="J64" s="5">
        <v>20000000</v>
      </c>
      <c r="K64" s="5">
        <v>0</v>
      </c>
      <c r="L64" s="5">
        <v>0</v>
      </c>
      <c r="M64" s="5">
        <v>0</v>
      </c>
      <c r="N64" s="5">
        <v>0</v>
      </c>
      <c r="O64" s="5">
        <f t="shared" si="2"/>
        <v>0</v>
      </c>
      <c r="P64" s="5">
        <v>0</v>
      </c>
      <c r="Q64" s="5">
        <v>1750000</v>
      </c>
      <c r="R64" s="5">
        <f>+HOJA!D16</f>
        <v>6588474</v>
      </c>
      <c r="S64" s="5">
        <v>0</v>
      </c>
      <c r="T64" s="5">
        <f t="shared" si="3"/>
        <v>8338474</v>
      </c>
      <c r="U64" s="5">
        <v>18250000</v>
      </c>
      <c r="V64" s="5">
        <v>1750000</v>
      </c>
      <c r="W64" s="5"/>
    </row>
    <row r="65" spans="1:23" s="83" customFormat="1" ht="15">
      <c r="A65" s="285"/>
      <c r="B65" s="101"/>
      <c r="C65" s="101"/>
      <c r="D65" s="101"/>
      <c r="E65" s="17"/>
      <c r="F65" s="17"/>
      <c r="G65" s="18"/>
      <c r="H65" s="21"/>
      <c r="I65" s="21"/>
      <c r="J65" s="21"/>
      <c r="K65" s="21"/>
      <c r="L65" s="21"/>
      <c r="M65" s="21"/>
      <c r="N65" s="21"/>
      <c r="O65" s="21">
        <f t="shared" si="2"/>
        <v>0</v>
      </c>
      <c r="P65" s="21"/>
      <c r="Q65" s="21"/>
      <c r="R65" s="21"/>
      <c r="S65" s="21"/>
      <c r="T65" s="21">
        <f t="shared" si="3"/>
        <v>0</v>
      </c>
      <c r="U65" s="21"/>
      <c r="V65" s="21"/>
      <c r="W65" s="21"/>
    </row>
    <row r="66" spans="1:23" s="98" customFormat="1" ht="15">
      <c r="A66" s="285"/>
      <c r="B66" s="43">
        <f>'GASTOS CONSOLIDADO'!A53</f>
        <v>200</v>
      </c>
      <c r="C66" s="43"/>
      <c r="D66" s="43"/>
      <c r="E66" s="1"/>
      <c r="F66" s="1"/>
      <c r="G66" s="13" t="str">
        <f>'GASTOS CONSOLIDADO'!F53</f>
        <v>SERVICIOS NO PERSONALES</v>
      </c>
      <c r="H66" s="3">
        <f>H67+H70+H73+H77+H82+H86+H91+H100+H103</f>
        <v>153140643</v>
      </c>
      <c r="I66" s="3">
        <f aca="true" t="shared" si="17" ref="I66:W66">I67+I70+I73+I77+I82+I86+I91+I100+I103</f>
        <v>20000000</v>
      </c>
      <c r="J66" s="3">
        <f t="shared" si="17"/>
        <v>173140643</v>
      </c>
      <c r="K66" s="3">
        <f t="shared" si="17"/>
        <v>1649172</v>
      </c>
      <c r="L66" s="3">
        <f t="shared" si="17"/>
        <v>1036700</v>
      </c>
      <c r="M66" s="3">
        <f t="shared" si="17"/>
        <v>0</v>
      </c>
      <c r="N66" s="3">
        <f t="shared" si="17"/>
        <v>2647601</v>
      </c>
      <c r="O66" s="3">
        <f t="shared" si="2"/>
        <v>5333473</v>
      </c>
      <c r="P66" s="3">
        <f t="shared" si="17"/>
        <v>10546564</v>
      </c>
      <c r="Q66" s="3">
        <f t="shared" si="17"/>
        <v>10282578</v>
      </c>
      <c r="R66" s="3">
        <f t="shared" si="17"/>
        <v>52371772</v>
      </c>
      <c r="S66" s="3">
        <f t="shared" si="17"/>
        <v>18779814</v>
      </c>
      <c r="T66" s="3">
        <f t="shared" si="3"/>
        <v>97314201</v>
      </c>
      <c r="U66" s="3">
        <f t="shared" si="17"/>
        <v>86100618</v>
      </c>
      <c r="V66" s="3">
        <f t="shared" si="17"/>
        <v>97314201</v>
      </c>
      <c r="W66" s="3">
        <f t="shared" si="17"/>
        <v>0</v>
      </c>
    </row>
    <row r="67" spans="1:23" s="98" customFormat="1" ht="15">
      <c r="A67" s="285"/>
      <c r="B67" s="43"/>
      <c r="C67" s="43">
        <f>'GASTOS CONSOLIDADO'!B54</f>
        <v>210</v>
      </c>
      <c r="D67" s="43"/>
      <c r="E67" s="1"/>
      <c r="F67" s="1"/>
      <c r="G67" s="13" t="str">
        <f>'GASTOS CONSOLIDADO'!F54</f>
        <v>Servicios Básicos</v>
      </c>
      <c r="H67" s="3">
        <f>SUM(H68:H69)</f>
        <v>19500000</v>
      </c>
      <c r="I67" s="3">
        <f aca="true" t="shared" si="18" ref="I67:W67">SUM(I68:I69)</f>
        <v>0</v>
      </c>
      <c r="J67" s="3">
        <f t="shared" si="18"/>
        <v>19500000</v>
      </c>
      <c r="K67" s="3">
        <f t="shared" si="18"/>
        <v>0</v>
      </c>
      <c r="L67" s="3">
        <f t="shared" si="18"/>
        <v>0</v>
      </c>
      <c r="M67" s="3">
        <f t="shared" si="18"/>
        <v>0</v>
      </c>
      <c r="N67" s="3">
        <f t="shared" si="18"/>
        <v>265433</v>
      </c>
      <c r="O67" s="3">
        <f t="shared" si="2"/>
        <v>265433</v>
      </c>
      <c r="P67" s="3">
        <f t="shared" si="18"/>
        <v>2813000</v>
      </c>
      <c r="Q67" s="3">
        <f t="shared" si="18"/>
        <v>350000</v>
      </c>
      <c r="R67" s="3">
        <f t="shared" si="18"/>
        <v>382521</v>
      </c>
      <c r="S67" s="3">
        <f t="shared" si="18"/>
        <v>1087313</v>
      </c>
      <c r="T67" s="3">
        <f t="shared" si="3"/>
        <v>4898267</v>
      </c>
      <c r="U67" s="3">
        <f t="shared" si="18"/>
        <v>14601733</v>
      </c>
      <c r="V67" s="3">
        <f t="shared" si="18"/>
        <v>4898267</v>
      </c>
      <c r="W67" s="3">
        <f t="shared" si="18"/>
        <v>0</v>
      </c>
    </row>
    <row r="68" spans="1:23" s="98" customFormat="1" ht="15">
      <c r="A68" s="285"/>
      <c r="B68" s="100"/>
      <c r="C68" s="100"/>
      <c r="D68" s="100">
        <f>'GASTOS CONSOLIDADO'!C55</f>
        <v>210</v>
      </c>
      <c r="E68" s="2" t="str">
        <f>'GASTOS CONSOLIDADO'!D55</f>
        <v>30</v>
      </c>
      <c r="F68" s="2" t="str">
        <f>'GASTOS CONSOLIDADO'!E55</f>
        <v>001</v>
      </c>
      <c r="G68" s="23" t="str">
        <f>'GASTOS CONSOLIDADO'!F55</f>
        <v>Servicios Básicos</v>
      </c>
      <c r="H68" s="5">
        <f>'GASTOS CONSOLIDADO'!G55</f>
        <v>19500000</v>
      </c>
      <c r="I68" s="5">
        <f>'GASTOS CONSOLIDADO'!H55</f>
        <v>0</v>
      </c>
      <c r="J68" s="5">
        <f>H68+I68</f>
        <v>19500000</v>
      </c>
      <c r="K68" s="5">
        <v>0</v>
      </c>
      <c r="L68" s="5">
        <v>0</v>
      </c>
      <c r="M68" s="5">
        <v>0</v>
      </c>
      <c r="N68" s="5">
        <v>265433</v>
      </c>
      <c r="O68" s="5">
        <f t="shared" si="2"/>
        <v>265433</v>
      </c>
      <c r="P68" s="5">
        <v>2813000</v>
      </c>
      <c r="Q68" s="5">
        <v>350000</v>
      </c>
      <c r="R68" s="5">
        <f>+HOJA!D18</f>
        <v>382521</v>
      </c>
      <c r="S68" s="5">
        <f>+HOJA!D106</f>
        <v>1087313</v>
      </c>
      <c r="T68" s="5">
        <f t="shared" si="3"/>
        <v>4898267</v>
      </c>
      <c r="U68" s="5">
        <f>J68-T68</f>
        <v>14601733</v>
      </c>
      <c r="V68" s="5">
        <f>+J68-U68</f>
        <v>4898267</v>
      </c>
      <c r="W68" s="5">
        <f>+T68-V68</f>
        <v>0</v>
      </c>
    </row>
    <row r="69" spans="1:23" s="83" customFormat="1" ht="15">
      <c r="A69" s="285"/>
      <c r="B69" s="101"/>
      <c r="C69" s="101"/>
      <c r="D69" s="101"/>
      <c r="E69" s="17"/>
      <c r="F69" s="17"/>
      <c r="G69" s="18"/>
      <c r="H69" s="21"/>
      <c r="I69" s="21"/>
      <c r="J69" s="21"/>
      <c r="K69" s="21"/>
      <c r="L69" s="21"/>
      <c r="M69" s="21"/>
      <c r="N69" s="21"/>
      <c r="O69" s="21">
        <f t="shared" si="2"/>
        <v>0</v>
      </c>
      <c r="P69" s="21"/>
      <c r="Q69" s="21"/>
      <c r="R69" s="21"/>
      <c r="S69" s="21"/>
      <c r="T69" s="21">
        <f t="shared" si="3"/>
        <v>0</v>
      </c>
      <c r="U69" s="21"/>
      <c r="V69" s="21"/>
      <c r="W69" s="21"/>
    </row>
    <row r="70" spans="1:23" s="98" customFormat="1" ht="15">
      <c r="A70" s="285"/>
      <c r="B70" s="43"/>
      <c r="C70" s="43">
        <f>'GASTOS CONSOLIDADO'!B57</f>
        <v>220</v>
      </c>
      <c r="D70" s="43"/>
      <c r="E70" s="1"/>
      <c r="F70" s="1"/>
      <c r="G70" s="13" t="str">
        <f>'GASTOS CONSOLIDADO'!F57</f>
        <v>Transporte y Almacenaje</v>
      </c>
      <c r="H70" s="3">
        <f aca="true" t="shared" si="19" ref="H70:W70">SUM(H71:H72)</f>
        <v>19021000</v>
      </c>
      <c r="I70" s="3">
        <f t="shared" si="19"/>
        <v>0</v>
      </c>
      <c r="J70" s="3">
        <f t="shared" si="19"/>
        <v>19021000</v>
      </c>
      <c r="K70" s="3">
        <f t="shared" si="19"/>
        <v>0</v>
      </c>
      <c r="L70" s="3">
        <f t="shared" si="19"/>
        <v>0</v>
      </c>
      <c r="M70" s="3">
        <f t="shared" si="19"/>
        <v>0</v>
      </c>
      <c r="N70" s="3">
        <f t="shared" si="19"/>
        <v>0</v>
      </c>
      <c r="O70" s="3">
        <f t="shared" si="2"/>
        <v>0</v>
      </c>
      <c r="P70" s="3">
        <f t="shared" si="19"/>
        <v>50000</v>
      </c>
      <c r="Q70" s="3">
        <f t="shared" si="19"/>
        <v>0</v>
      </c>
      <c r="R70" s="3">
        <f t="shared" si="19"/>
        <v>0</v>
      </c>
      <c r="S70" s="3">
        <f>+S71</f>
        <v>0</v>
      </c>
      <c r="T70" s="3">
        <f t="shared" si="3"/>
        <v>50000</v>
      </c>
      <c r="U70" s="3">
        <f t="shared" si="19"/>
        <v>18971000</v>
      </c>
      <c r="V70" s="3">
        <f t="shared" si="19"/>
        <v>50000</v>
      </c>
      <c r="W70" s="3">
        <f t="shared" si="19"/>
        <v>0</v>
      </c>
    </row>
    <row r="71" spans="1:23" s="98" customFormat="1" ht="15">
      <c r="A71" s="285"/>
      <c r="B71" s="100"/>
      <c r="C71" s="100"/>
      <c r="D71" s="100">
        <f>'GASTOS CONSOLIDADO'!C58</f>
        <v>220</v>
      </c>
      <c r="E71" s="2" t="str">
        <f>'GASTOS CONSOLIDADO'!D58</f>
        <v>30</v>
      </c>
      <c r="F71" s="2" t="str">
        <f>'GASTOS CONSOLIDADO'!E58</f>
        <v>001</v>
      </c>
      <c r="G71" s="23" t="str">
        <f>'GASTOS CONSOLIDADO'!F58</f>
        <v>Transporte y Almacenaje</v>
      </c>
      <c r="H71" s="5">
        <f>'GASTOS CONSOLIDADO'!G58</f>
        <v>19021000</v>
      </c>
      <c r="I71" s="5">
        <f>'GASTOS CONSOLIDADO'!H58</f>
        <v>0</v>
      </c>
      <c r="J71" s="5">
        <f>H71+I71</f>
        <v>19021000</v>
      </c>
      <c r="K71" s="5">
        <v>0</v>
      </c>
      <c r="L71" s="5">
        <v>0</v>
      </c>
      <c r="M71" s="5">
        <v>0</v>
      </c>
      <c r="N71" s="5">
        <v>0</v>
      </c>
      <c r="O71" s="5">
        <f t="shared" si="2"/>
        <v>0</v>
      </c>
      <c r="P71" s="5">
        <v>50000</v>
      </c>
      <c r="Q71" s="5">
        <v>0</v>
      </c>
      <c r="R71" s="5">
        <v>0</v>
      </c>
      <c r="T71" s="98">
        <f t="shared" si="3"/>
        <v>50000</v>
      </c>
      <c r="U71" s="5">
        <f>J71-T71</f>
        <v>18971000</v>
      </c>
      <c r="V71" s="5">
        <f>+J71-U71</f>
        <v>50000</v>
      </c>
      <c r="W71" s="5">
        <f>+T71-V71</f>
        <v>0</v>
      </c>
    </row>
    <row r="72" spans="1:23" s="83" customFormat="1" ht="15">
      <c r="A72" s="285"/>
      <c r="B72" s="101"/>
      <c r="C72" s="101"/>
      <c r="D72" s="101"/>
      <c r="E72" s="17"/>
      <c r="F72" s="17"/>
      <c r="G72" s="18"/>
      <c r="H72" s="21"/>
      <c r="I72" s="21"/>
      <c r="J72" s="21"/>
      <c r="K72" s="21"/>
      <c r="L72" s="21"/>
      <c r="M72" s="21"/>
      <c r="N72" s="21"/>
      <c r="O72" s="21">
        <f t="shared" si="2"/>
        <v>0</v>
      </c>
      <c r="P72" s="21"/>
      <c r="Q72" s="21"/>
      <c r="R72" s="21"/>
      <c r="S72" s="21"/>
      <c r="T72" s="21">
        <f t="shared" si="3"/>
        <v>0</v>
      </c>
      <c r="U72" s="21"/>
      <c r="V72" s="21"/>
      <c r="W72" s="21"/>
    </row>
    <row r="73" spans="1:23" s="98" customFormat="1" ht="15">
      <c r="A73" s="285"/>
      <c r="B73" s="102"/>
      <c r="C73" s="102">
        <f>'GASTOS CONSOLIDADO'!B60</f>
        <v>230</v>
      </c>
      <c r="D73" s="43"/>
      <c r="E73" s="102"/>
      <c r="F73" s="102"/>
      <c r="G73" s="102" t="str">
        <f>'GASTOS CONSOLIDADO'!F60</f>
        <v>Pasajes y Viáticos</v>
      </c>
      <c r="H73" s="3">
        <f>+H75</f>
        <v>39800000</v>
      </c>
      <c r="I73" s="3">
        <f aca="true" t="shared" si="20" ref="I73:W73">+I75</f>
        <v>0</v>
      </c>
      <c r="J73" s="3">
        <f t="shared" si="20"/>
        <v>39800000</v>
      </c>
      <c r="K73" s="3">
        <f t="shared" si="20"/>
        <v>0</v>
      </c>
      <c r="L73" s="3">
        <f t="shared" si="20"/>
        <v>10950</v>
      </c>
      <c r="M73" s="3">
        <f t="shared" si="20"/>
        <v>0</v>
      </c>
      <c r="N73" s="3">
        <f t="shared" si="20"/>
        <v>0</v>
      </c>
      <c r="O73" s="3">
        <f t="shared" si="2"/>
        <v>10950</v>
      </c>
      <c r="P73" s="3">
        <f t="shared" si="20"/>
        <v>73410</v>
      </c>
      <c r="Q73" s="3">
        <f t="shared" si="20"/>
        <v>7019110</v>
      </c>
      <c r="R73" s="3">
        <f t="shared" si="20"/>
        <v>3900000</v>
      </c>
      <c r="S73" s="3">
        <f>+S75</f>
        <v>320000</v>
      </c>
      <c r="T73" s="3">
        <f t="shared" si="3"/>
        <v>11323470</v>
      </c>
      <c r="U73" s="3">
        <f t="shared" si="20"/>
        <v>28476530</v>
      </c>
      <c r="V73" s="3">
        <f t="shared" si="20"/>
        <v>11323470</v>
      </c>
      <c r="W73" s="3">
        <f t="shared" si="20"/>
        <v>0</v>
      </c>
    </row>
    <row r="74" spans="1:23" s="98" customFormat="1" ht="15" hidden="1">
      <c r="A74" s="285"/>
      <c r="B74" s="103"/>
      <c r="C74" s="103"/>
      <c r="D74" s="100" t="e">
        <f>'GASTOS CONSOLIDADO'!#REF!</f>
        <v>#REF!</v>
      </c>
      <c r="E74" s="2" t="e">
        <f>'GASTOS CONSOLIDADO'!#REF!</f>
        <v>#REF!</v>
      </c>
      <c r="F74" s="2" t="e">
        <f>'GASTOS CONSOLIDADO'!#REF!</f>
        <v>#REF!</v>
      </c>
      <c r="G74" s="103" t="e">
        <f>'GASTOS CONSOLIDADO'!#REF!</f>
        <v>#REF!</v>
      </c>
      <c r="H74" s="5" t="e">
        <f>'GASTOS CONSOLIDADO'!#REF!</f>
        <v>#REF!</v>
      </c>
      <c r="I74" s="5" t="e">
        <f>'GASTOS CONSOLIDADO'!#REF!</f>
        <v>#REF!</v>
      </c>
      <c r="J74" s="5" t="e">
        <f>H74+I74</f>
        <v>#REF!</v>
      </c>
      <c r="K74" s="5">
        <v>0</v>
      </c>
      <c r="L74" s="5">
        <v>0</v>
      </c>
      <c r="M74" s="5">
        <v>0</v>
      </c>
      <c r="N74" s="5">
        <v>0</v>
      </c>
      <c r="O74" s="5">
        <f t="shared" si="2"/>
        <v>0</v>
      </c>
      <c r="P74" s="5">
        <v>0</v>
      </c>
      <c r="Q74" s="5">
        <v>0</v>
      </c>
      <c r="R74" s="5"/>
      <c r="S74" s="5"/>
      <c r="T74" s="5">
        <f t="shared" si="3"/>
        <v>0</v>
      </c>
      <c r="U74" s="5">
        <v>0</v>
      </c>
      <c r="V74" s="5">
        <v>0</v>
      </c>
      <c r="W74" s="5">
        <v>0</v>
      </c>
    </row>
    <row r="75" spans="1:23" s="98" customFormat="1" ht="15">
      <c r="A75" s="285"/>
      <c r="B75" s="103"/>
      <c r="C75" s="103"/>
      <c r="D75" s="100">
        <f>'GASTOS CONSOLIDADO'!C61</f>
        <v>230</v>
      </c>
      <c r="E75" s="2" t="str">
        <f>'GASTOS CONSOLIDADO'!D61</f>
        <v>30</v>
      </c>
      <c r="F75" s="2" t="str">
        <f>'GASTOS CONSOLIDADO'!E61</f>
        <v>001</v>
      </c>
      <c r="G75" s="103" t="str">
        <f>'GASTOS CONSOLIDADO'!F61</f>
        <v>Pasajes y Viáticos</v>
      </c>
      <c r="H75" s="5">
        <f>'GASTOS CONSOLIDADO'!G61</f>
        <v>39800000</v>
      </c>
      <c r="I75" s="5">
        <f>'GASTOS CONSOLIDADO'!H61</f>
        <v>0</v>
      </c>
      <c r="J75" s="5">
        <f>H75+I75</f>
        <v>39800000</v>
      </c>
      <c r="K75" s="5">
        <v>0</v>
      </c>
      <c r="L75" s="5">
        <v>10950</v>
      </c>
      <c r="M75" s="5">
        <v>0</v>
      </c>
      <c r="N75" s="5">
        <v>0</v>
      </c>
      <c r="O75" s="5">
        <f t="shared" si="2"/>
        <v>10950</v>
      </c>
      <c r="P75" s="5">
        <v>73410</v>
      </c>
      <c r="Q75" s="5">
        <v>7019110</v>
      </c>
      <c r="R75" s="5">
        <f>+HOJA!D22</f>
        <v>3900000</v>
      </c>
      <c r="S75" s="5">
        <f>+HOJA!D107</f>
        <v>320000</v>
      </c>
      <c r="T75" s="5">
        <f t="shared" si="3"/>
        <v>11323470</v>
      </c>
      <c r="U75" s="5">
        <f>J75-T75</f>
        <v>28476530</v>
      </c>
      <c r="V75" s="5">
        <f>+J75-U75</f>
        <v>11323470</v>
      </c>
      <c r="W75" s="5">
        <f>+T75-V75</f>
        <v>0</v>
      </c>
    </row>
    <row r="76" spans="1:23" s="83" customFormat="1" ht="15">
      <c r="A76" s="285"/>
      <c r="B76" s="104"/>
      <c r="C76" s="104"/>
      <c r="D76" s="101"/>
      <c r="E76" s="17"/>
      <c r="F76" s="17"/>
      <c r="G76" s="104"/>
      <c r="H76" s="21"/>
      <c r="I76" s="21"/>
      <c r="J76" s="21"/>
      <c r="K76" s="21"/>
      <c r="L76" s="21"/>
      <c r="M76" s="21"/>
      <c r="N76" s="21"/>
      <c r="O76" s="21">
        <f t="shared" si="2"/>
        <v>0</v>
      </c>
      <c r="P76" s="21"/>
      <c r="Q76" s="21"/>
      <c r="R76" s="21"/>
      <c r="S76" s="21"/>
      <c r="T76" s="21">
        <f t="shared" si="3"/>
        <v>0</v>
      </c>
      <c r="U76" s="21"/>
      <c r="V76" s="21"/>
      <c r="W76" s="21"/>
    </row>
    <row r="77" spans="1:23" s="98" customFormat="1" ht="15">
      <c r="A77" s="285"/>
      <c r="B77" s="102"/>
      <c r="C77" s="102">
        <f>'GASTOS CONSOLIDADO'!B63</f>
        <v>240</v>
      </c>
      <c r="D77" s="43"/>
      <c r="E77" s="102"/>
      <c r="F77" s="102"/>
      <c r="G77" s="102" t="str">
        <f>'GASTOS CONSOLIDADO'!F63</f>
        <v>Gastos p/ Serv. de Aseo Mant. y Repar.</v>
      </c>
      <c r="H77" s="3">
        <f aca="true" t="shared" si="21" ref="H77:W77">SUM(H78:H80)</f>
        <v>24000000</v>
      </c>
      <c r="I77" s="3">
        <f t="shared" si="21"/>
        <v>0</v>
      </c>
      <c r="J77" s="3">
        <f t="shared" si="21"/>
        <v>24000000</v>
      </c>
      <c r="K77" s="3">
        <f t="shared" si="21"/>
        <v>244499</v>
      </c>
      <c r="L77" s="3">
        <f t="shared" si="21"/>
        <v>380000</v>
      </c>
      <c r="M77" s="3">
        <f t="shared" si="21"/>
        <v>0</v>
      </c>
      <c r="N77" s="3">
        <f t="shared" si="21"/>
        <v>0</v>
      </c>
      <c r="O77" s="3">
        <f t="shared" si="2"/>
        <v>624499</v>
      </c>
      <c r="P77" s="3">
        <f t="shared" si="21"/>
        <v>1395000</v>
      </c>
      <c r="Q77" s="3">
        <f t="shared" si="21"/>
        <v>770000</v>
      </c>
      <c r="R77" s="3">
        <f t="shared" si="21"/>
        <v>7184200</v>
      </c>
      <c r="S77" s="3">
        <f t="shared" si="21"/>
        <v>9352000</v>
      </c>
      <c r="T77" s="3">
        <f t="shared" si="3"/>
        <v>19325699</v>
      </c>
      <c r="U77" s="3">
        <f t="shared" si="21"/>
        <v>4674301</v>
      </c>
      <c r="V77" s="3">
        <f t="shared" si="21"/>
        <v>19325699</v>
      </c>
      <c r="W77" s="3">
        <f t="shared" si="21"/>
        <v>0</v>
      </c>
    </row>
    <row r="78" spans="1:23" s="98" customFormat="1" ht="20.25" hidden="1">
      <c r="A78" s="285"/>
      <c r="B78" s="103"/>
      <c r="C78" s="103"/>
      <c r="D78" s="100">
        <f>'GASTOS CONSOLIDADO'!C65</f>
        <v>240</v>
      </c>
      <c r="E78" s="2" t="str">
        <f>'GASTOS CONSOLIDADO'!D65</f>
        <v>30</v>
      </c>
      <c r="F78" s="2" t="str">
        <f>'GASTOS CONSOLIDADO'!E65</f>
        <v>008</v>
      </c>
      <c r="G78" s="105" t="str">
        <f>'GASTOS CONSOLIDADO'!F65</f>
        <v>Gastos por Servicios de Aseo,  Mantenimiento y Reparación</v>
      </c>
      <c r="H78" s="106">
        <f>'GASTOS CONSOLIDADO'!G65</f>
        <v>0</v>
      </c>
      <c r="I78" s="106">
        <f>'GASTOS CONSOLIDADO'!H65</f>
        <v>0</v>
      </c>
      <c r="J78" s="106">
        <f>H78+I78</f>
        <v>0</v>
      </c>
      <c r="K78" s="5">
        <v>0</v>
      </c>
      <c r="L78" s="5">
        <v>0</v>
      </c>
      <c r="M78" s="5">
        <v>0</v>
      </c>
      <c r="N78" s="5">
        <v>0</v>
      </c>
      <c r="O78" s="5">
        <f t="shared" si="2"/>
        <v>0</v>
      </c>
      <c r="P78" s="5">
        <v>0</v>
      </c>
      <c r="Q78" s="5">
        <v>0</v>
      </c>
      <c r="R78" s="5"/>
      <c r="S78" s="5"/>
      <c r="T78" s="5">
        <f t="shared" si="3"/>
        <v>0</v>
      </c>
      <c r="U78" s="5">
        <f>J78-T78</f>
        <v>0</v>
      </c>
      <c r="V78" s="5">
        <v>0</v>
      </c>
      <c r="W78" s="5">
        <v>0</v>
      </c>
    </row>
    <row r="79" spans="1:23" s="98" customFormat="1" ht="20.25" hidden="1">
      <c r="A79" s="285"/>
      <c r="B79" s="103"/>
      <c r="C79" s="103"/>
      <c r="D79" s="100">
        <f>'GASTOS CONSOLIDADO'!C66</f>
        <v>240</v>
      </c>
      <c r="E79" s="2" t="str">
        <f>'GASTOS CONSOLIDADO'!D66</f>
        <v>30</v>
      </c>
      <c r="F79" s="2" t="str">
        <f>'GASTOS CONSOLIDADO'!E66</f>
        <v>007</v>
      </c>
      <c r="G79" s="105" t="str">
        <f>'GASTOS CONSOLIDADO'!F66</f>
        <v>Gastos por Servicios de Aseo,  Mantenimiento y Reparación</v>
      </c>
      <c r="H79" s="106">
        <f>'GASTOS CONSOLIDADO'!G66</f>
        <v>0</v>
      </c>
      <c r="I79" s="106">
        <f>'GASTOS CONSOLIDADO'!H66</f>
        <v>0</v>
      </c>
      <c r="J79" s="106">
        <f>H79+I79</f>
        <v>0</v>
      </c>
      <c r="K79" s="5">
        <v>0</v>
      </c>
      <c r="L79" s="5">
        <v>0</v>
      </c>
      <c r="M79" s="5">
        <v>0</v>
      </c>
      <c r="N79" s="5">
        <v>0</v>
      </c>
      <c r="O79" s="5">
        <f t="shared" si="2"/>
        <v>0</v>
      </c>
      <c r="P79" s="5">
        <v>0</v>
      </c>
      <c r="Q79" s="5">
        <v>0</v>
      </c>
      <c r="R79" s="5"/>
      <c r="S79" s="5"/>
      <c r="T79" s="5">
        <f t="shared" si="3"/>
        <v>0</v>
      </c>
      <c r="U79" s="5">
        <f>J79-T79</f>
        <v>0</v>
      </c>
      <c r="V79" s="5">
        <v>0</v>
      </c>
      <c r="W79" s="5">
        <v>0</v>
      </c>
    </row>
    <row r="80" spans="1:23" s="98" customFormat="1" ht="22.5">
      <c r="A80" s="285"/>
      <c r="B80" s="103"/>
      <c r="C80" s="103"/>
      <c r="D80" s="100">
        <f>'GASTOS CONSOLIDADO'!C67</f>
        <v>240</v>
      </c>
      <c r="E80" s="2" t="str">
        <f>'GASTOS CONSOLIDADO'!D67</f>
        <v>30</v>
      </c>
      <c r="F80" s="2" t="str">
        <f>'GASTOS CONSOLIDADO'!E67</f>
        <v>001</v>
      </c>
      <c r="G80" s="105" t="str">
        <f>'GASTOS CONSOLIDADO'!F67</f>
        <v>Gastos por Servicios de Aseo,  Mantenimiento y Reparación</v>
      </c>
      <c r="H80" s="106">
        <f>'GASTOS CONSOLIDADO'!G67</f>
        <v>24000000</v>
      </c>
      <c r="I80" s="106">
        <f>'GASTOS CONSOLIDADO'!H67</f>
        <v>0</v>
      </c>
      <c r="J80" s="106">
        <f>H80+I80</f>
        <v>24000000</v>
      </c>
      <c r="K80" s="5">
        <v>244499</v>
      </c>
      <c r="L80" s="5">
        <v>380000</v>
      </c>
      <c r="M80" s="5">
        <v>0</v>
      </c>
      <c r="N80" s="5">
        <v>0</v>
      </c>
      <c r="O80" s="5">
        <f t="shared" si="2"/>
        <v>624499</v>
      </c>
      <c r="P80" s="5">
        <v>1395000</v>
      </c>
      <c r="Q80" s="5">
        <v>770000</v>
      </c>
      <c r="R80" s="5">
        <f>+HOJA!D30</f>
        <v>7184200</v>
      </c>
      <c r="S80" s="5">
        <f>+HOJA!D114</f>
        <v>9352000</v>
      </c>
      <c r="T80" s="5">
        <f t="shared" si="3"/>
        <v>19325699</v>
      </c>
      <c r="U80" s="5">
        <f>J80-T80</f>
        <v>4674301</v>
      </c>
      <c r="V80" s="5">
        <f>+J80-U80</f>
        <v>19325699</v>
      </c>
      <c r="W80" s="5">
        <f>+T80-V80</f>
        <v>0</v>
      </c>
    </row>
    <row r="81" spans="1:23" s="83" customFormat="1" ht="15">
      <c r="A81" s="285"/>
      <c r="B81" s="104"/>
      <c r="C81" s="104"/>
      <c r="D81" s="101"/>
      <c r="E81" s="104"/>
      <c r="F81" s="104"/>
      <c r="G81" s="104"/>
      <c r="H81" s="21"/>
      <c r="I81" s="21"/>
      <c r="J81" s="21"/>
      <c r="K81" s="21"/>
      <c r="L81" s="21"/>
      <c r="M81" s="21"/>
      <c r="N81" s="21"/>
      <c r="O81" s="21">
        <f t="shared" si="2"/>
        <v>0</v>
      </c>
      <c r="P81" s="21"/>
      <c r="Q81" s="21"/>
      <c r="R81" s="21"/>
      <c r="S81" s="21"/>
      <c r="T81" s="21">
        <f t="shared" si="3"/>
        <v>0</v>
      </c>
      <c r="U81" s="21"/>
      <c r="V81" s="21"/>
      <c r="W81" s="21"/>
    </row>
    <row r="82" spans="1:23" s="98" customFormat="1" ht="15">
      <c r="A82" s="285"/>
      <c r="B82" s="102"/>
      <c r="C82" s="102">
        <f>'GASTOS CONSOLIDADO'!B69</f>
        <v>250</v>
      </c>
      <c r="D82" s="43"/>
      <c r="E82" s="102"/>
      <c r="F82" s="102"/>
      <c r="G82" s="102" t="str">
        <f>'GASTOS CONSOLIDADO'!F69</f>
        <v>Alquileres y Derechos</v>
      </c>
      <c r="H82" s="3">
        <f aca="true" t="shared" si="22" ref="H82:W82">SUM(H83:H85)</f>
        <v>13860000</v>
      </c>
      <c r="I82" s="3">
        <f t="shared" si="22"/>
        <v>0</v>
      </c>
      <c r="J82" s="3">
        <f t="shared" si="22"/>
        <v>13860000</v>
      </c>
      <c r="K82" s="3">
        <f t="shared" si="22"/>
        <v>0</v>
      </c>
      <c r="L82" s="3">
        <f t="shared" si="22"/>
        <v>0</v>
      </c>
      <c r="M82" s="3">
        <f t="shared" si="22"/>
        <v>0</v>
      </c>
      <c r="N82" s="3">
        <f t="shared" si="22"/>
        <v>2382168</v>
      </c>
      <c r="O82" s="3">
        <f t="shared" si="2"/>
        <v>2382168</v>
      </c>
      <c r="P82" s="3">
        <f t="shared" si="22"/>
        <v>1382168</v>
      </c>
      <c r="Q82" s="3">
        <f t="shared" si="22"/>
        <v>1382168</v>
      </c>
      <c r="R82" s="3">
        <f t="shared" si="22"/>
        <v>1382168</v>
      </c>
      <c r="S82" s="3">
        <f t="shared" si="22"/>
        <v>332168</v>
      </c>
      <c r="T82" s="3">
        <f t="shared" si="3"/>
        <v>6860840</v>
      </c>
      <c r="U82" s="3">
        <f t="shared" si="22"/>
        <v>6999160</v>
      </c>
      <c r="V82" s="3">
        <f t="shared" si="22"/>
        <v>6860840</v>
      </c>
      <c r="W82" s="3">
        <f t="shared" si="22"/>
        <v>0</v>
      </c>
    </row>
    <row r="83" spans="1:23" s="98" customFormat="1" ht="15" hidden="1">
      <c r="A83" s="285"/>
      <c r="B83" s="103"/>
      <c r="C83" s="103"/>
      <c r="D83" s="100"/>
      <c r="E83" s="2"/>
      <c r="F83" s="2"/>
      <c r="G83" s="103"/>
      <c r="H83" s="5"/>
      <c r="I83" s="5"/>
      <c r="J83" s="5"/>
      <c r="K83" s="5"/>
      <c r="L83" s="5"/>
      <c r="M83" s="5"/>
      <c r="N83" s="5"/>
      <c r="O83" s="5">
        <f t="shared" si="2"/>
        <v>0</v>
      </c>
      <c r="P83" s="5"/>
      <c r="Q83" s="5"/>
      <c r="R83" s="5"/>
      <c r="S83" s="5"/>
      <c r="T83" s="5">
        <f t="shared" si="3"/>
        <v>0</v>
      </c>
      <c r="U83" s="5"/>
      <c r="V83" s="5"/>
      <c r="W83" s="5"/>
    </row>
    <row r="84" spans="1:23" s="98" customFormat="1" ht="15">
      <c r="A84" s="285"/>
      <c r="B84" s="103"/>
      <c r="C84" s="103"/>
      <c r="D84" s="100">
        <f>'GASTOS CONSOLIDADO'!C71</f>
        <v>250</v>
      </c>
      <c r="E84" s="2" t="str">
        <f>'GASTOS CONSOLIDADO'!D71</f>
        <v>30</v>
      </c>
      <c r="F84" s="2" t="str">
        <f>'GASTOS CONSOLIDADO'!E71</f>
        <v>001</v>
      </c>
      <c r="G84" s="103" t="str">
        <f>'GASTOS CONSOLIDADO'!F71</f>
        <v>Alquileres y Derechos</v>
      </c>
      <c r="H84" s="5">
        <f>'GASTOS CONSOLIDADO'!G71</f>
        <v>13860000</v>
      </c>
      <c r="I84" s="5">
        <f>'GASTOS CONSOLIDADO'!H71</f>
        <v>0</v>
      </c>
      <c r="J84" s="5">
        <f>H84+I84</f>
        <v>13860000</v>
      </c>
      <c r="K84" s="5">
        <v>0</v>
      </c>
      <c r="L84" s="325">
        <v>0</v>
      </c>
      <c r="M84" s="5">
        <v>0</v>
      </c>
      <c r="N84" s="5">
        <v>2382168</v>
      </c>
      <c r="O84" s="5">
        <f aca="true" t="shared" si="23" ref="O84:O147">SUM(K84:N84)</f>
        <v>2382168</v>
      </c>
      <c r="P84" s="5">
        <v>1382168</v>
      </c>
      <c r="Q84" s="5">
        <v>1382168</v>
      </c>
      <c r="R84" s="5">
        <f>+HOJA!D32</f>
        <v>1382168</v>
      </c>
      <c r="S84" s="5">
        <f>+HOJA!D115</f>
        <v>332168</v>
      </c>
      <c r="T84" s="5">
        <f aca="true" t="shared" si="24" ref="T84:T147">SUM(O84:S84)</f>
        <v>6860840</v>
      </c>
      <c r="U84" s="5">
        <f>J84-T84</f>
        <v>6999160</v>
      </c>
      <c r="V84" s="5">
        <f>+J84-U84</f>
        <v>6860840</v>
      </c>
      <c r="W84" s="5">
        <f>+T84-V84</f>
        <v>0</v>
      </c>
    </row>
    <row r="85" spans="1:23" s="83" customFormat="1" ht="15">
      <c r="A85" s="285"/>
      <c r="B85" s="104"/>
      <c r="C85" s="104"/>
      <c r="D85" s="101"/>
      <c r="E85" s="17"/>
      <c r="F85" s="17"/>
      <c r="G85" s="104"/>
      <c r="H85" s="21"/>
      <c r="I85" s="21"/>
      <c r="J85" s="21"/>
      <c r="K85" s="21"/>
      <c r="L85" s="21"/>
      <c r="M85" s="21"/>
      <c r="N85" s="21"/>
      <c r="O85" s="21">
        <f t="shared" si="23"/>
        <v>0</v>
      </c>
      <c r="P85" s="21"/>
      <c r="Q85" s="21"/>
      <c r="R85" s="21"/>
      <c r="S85" s="21"/>
      <c r="T85" s="21">
        <f t="shared" si="24"/>
        <v>0</v>
      </c>
      <c r="U85" s="21"/>
      <c r="V85" s="21"/>
      <c r="W85" s="21"/>
    </row>
    <row r="86" spans="1:23" s="98" customFormat="1" ht="15">
      <c r="A86" s="285"/>
      <c r="B86" s="102"/>
      <c r="C86" s="102">
        <f>'GASTOS CONSOLIDADO'!B73</f>
        <v>260</v>
      </c>
      <c r="D86" s="43"/>
      <c r="E86" s="102"/>
      <c r="F86" s="102"/>
      <c r="G86" s="102" t="str">
        <f>'GASTOS CONSOLIDADO'!F73</f>
        <v>Servicios Técnicos y Profesionales</v>
      </c>
      <c r="H86" s="3">
        <f>+H89</f>
        <v>11544000</v>
      </c>
      <c r="I86" s="3">
        <f aca="true" t="shared" si="25" ref="I86:W86">+I89</f>
        <v>0</v>
      </c>
      <c r="J86" s="3">
        <f t="shared" si="25"/>
        <v>11544000</v>
      </c>
      <c r="K86" s="3">
        <f t="shared" si="25"/>
        <v>0</v>
      </c>
      <c r="L86" s="3">
        <f t="shared" si="25"/>
        <v>0</v>
      </c>
      <c r="M86" s="3">
        <f t="shared" si="25"/>
        <v>0</v>
      </c>
      <c r="N86" s="3">
        <f t="shared" si="25"/>
        <v>0</v>
      </c>
      <c r="O86" s="3">
        <f t="shared" si="23"/>
        <v>0</v>
      </c>
      <c r="P86" s="3">
        <f t="shared" si="25"/>
        <v>33000</v>
      </c>
      <c r="Q86" s="3">
        <f t="shared" si="25"/>
        <v>15000</v>
      </c>
      <c r="R86" s="3">
        <f t="shared" si="25"/>
        <v>3576983</v>
      </c>
      <c r="S86" s="3">
        <f t="shared" si="25"/>
        <v>6697193</v>
      </c>
      <c r="T86" s="3">
        <f t="shared" si="24"/>
        <v>10322176</v>
      </c>
      <c r="U86" s="3">
        <f t="shared" si="25"/>
        <v>11496000</v>
      </c>
      <c r="V86" s="3">
        <f t="shared" si="25"/>
        <v>10322176</v>
      </c>
      <c r="W86" s="3">
        <f t="shared" si="25"/>
        <v>0</v>
      </c>
    </row>
    <row r="87" spans="1:23" s="98" customFormat="1" ht="15" hidden="1">
      <c r="A87" s="285"/>
      <c r="B87" s="103"/>
      <c r="C87" s="103"/>
      <c r="D87" s="100"/>
      <c r="E87" s="2"/>
      <c r="F87" s="2"/>
      <c r="G87" s="103"/>
      <c r="H87" s="5"/>
      <c r="I87" s="5"/>
      <c r="J87" s="5"/>
      <c r="K87" s="5"/>
      <c r="L87" s="5"/>
      <c r="M87" s="5"/>
      <c r="N87" s="5"/>
      <c r="O87" s="5">
        <f t="shared" si="23"/>
        <v>0</v>
      </c>
      <c r="P87" s="5"/>
      <c r="Q87" s="5"/>
      <c r="R87" s="5"/>
      <c r="S87" s="5"/>
      <c r="T87" s="5">
        <f t="shared" si="24"/>
        <v>0</v>
      </c>
      <c r="U87" s="5"/>
      <c r="V87" s="5"/>
      <c r="W87" s="5"/>
    </row>
    <row r="88" spans="1:23" s="98" customFormat="1" ht="15" hidden="1">
      <c r="A88" s="285"/>
      <c r="B88" s="103"/>
      <c r="C88" s="103"/>
      <c r="D88" s="100">
        <f>'GASTOS CONSOLIDADO'!C75</f>
        <v>260</v>
      </c>
      <c r="E88" s="2" t="str">
        <f>'GASTOS CONSOLIDADO'!D75</f>
        <v>30</v>
      </c>
      <c r="F88" s="2" t="str">
        <f>'GASTOS CONSOLIDADO'!E75</f>
        <v>007</v>
      </c>
      <c r="G88" s="103" t="str">
        <f>'GASTOS CONSOLIDADO'!F75</f>
        <v>Servicios Técnicos y Profesionales</v>
      </c>
      <c r="H88" s="5">
        <f>'GASTOS CONSOLIDADO'!G75</f>
        <v>0</v>
      </c>
      <c r="I88" s="5">
        <f>'GASTOS CONSOLIDADO'!H75</f>
        <v>0</v>
      </c>
      <c r="J88" s="5">
        <f>H88+I88</f>
        <v>0</v>
      </c>
      <c r="K88" s="5">
        <v>0</v>
      </c>
      <c r="L88" s="5">
        <v>0</v>
      </c>
      <c r="M88" s="5">
        <v>0</v>
      </c>
      <c r="N88" s="5">
        <v>0</v>
      </c>
      <c r="O88" s="5">
        <f t="shared" si="23"/>
        <v>0</v>
      </c>
      <c r="P88" s="5">
        <v>0</v>
      </c>
      <c r="Q88" s="5">
        <v>0</v>
      </c>
      <c r="R88" s="5"/>
      <c r="S88" s="5"/>
      <c r="T88" s="5">
        <f t="shared" si="24"/>
        <v>0</v>
      </c>
      <c r="U88" s="5">
        <v>0</v>
      </c>
      <c r="V88" s="5">
        <v>0</v>
      </c>
      <c r="W88" s="5">
        <v>0</v>
      </c>
    </row>
    <row r="89" spans="1:23" s="98" customFormat="1" ht="15">
      <c r="A89" s="285"/>
      <c r="B89" s="103"/>
      <c r="C89" s="103"/>
      <c r="D89" s="100">
        <v>260</v>
      </c>
      <c r="E89" s="2" t="s">
        <v>77</v>
      </c>
      <c r="F89" s="2" t="s">
        <v>21</v>
      </c>
      <c r="G89" s="103" t="s">
        <v>39</v>
      </c>
      <c r="H89" s="5">
        <v>11544000</v>
      </c>
      <c r="I89" s="5">
        <v>0</v>
      </c>
      <c r="J89" s="5">
        <v>11544000</v>
      </c>
      <c r="K89" s="5">
        <v>0</v>
      </c>
      <c r="L89" s="5">
        <v>0</v>
      </c>
      <c r="M89" s="5">
        <v>0</v>
      </c>
      <c r="N89" s="5">
        <v>0</v>
      </c>
      <c r="O89" s="5">
        <f t="shared" si="23"/>
        <v>0</v>
      </c>
      <c r="P89" s="5">
        <v>33000</v>
      </c>
      <c r="Q89" s="5">
        <v>15000</v>
      </c>
      <c r="R89" s="5">
        <f>+HOJA!D36</f>
        <v>3576983</v>
      </c>
      <c r="S89" s="5">
        <f>+HOJA!D121</f>
        <v>6697193</v>
      </c>
      <c r="T89" s="5">
        <f t="shared" si="24"/>
        <v>10322176</v>
      </c>
      <c r="U89" s="5">
        <v>11496000</v>
      </c>
      <c r="V89" s="5">
        <f>T89</f>
        <v>10322176</v>
      </c>
      <c r="W89" s="5"/>
    </row>
    <row r="90" spans="1:23" s="98" customFormat="1" ht="15">
      <c r="A90" s="285"/>
      <c r="B90" s="103"/>
      <c r="C90" s="103"/>
      <c r="D90" s="100"/>
      <c r="E90" s="2"/>
      <c r="F90" s="2"/>
      <c r="G90" s="103"/>
      <c r="H90" s="5"/>
      <c r="I90" s="5"/>
      <c r="J90" s="5"/>
      <c r="K90" s="5"/>
      <c r="L90" s="5"/>
      <c r="M90" s="5"/>
      <c r="N90" s="5"/>
      <c r="O90" s="5">
        <f t="shared" si="23"/>
        <v>0</v>
      </c>
      <c r="P90" s="5"/>
      <c r="Q90" s="5"/>
      <c r="R90" s="5"/>
      <c r="S90" s="5"/>
      <c r="T90" s="5">
        <f t="shared" si="24"/>
        <v>0</v>
      </c>
      <c r="U90" s="5"/>
      <c r="V90" s="5"/>
      <c r="W90" s="5"/>
    </row>
    <row r="91" spans="1:23" s="328" customFormat="1" ht="15.75">
      <c r="A91" s="327"/>
      <c r="B91" s="102"/>
      <c r="C91" s="102">
        <v>270</v>
      </c>
      <c r="D91" s="43"/>
      <c r="E91" s="1"/>
      <c r="F91" s="1"/>
      <c r="G91" s="102" t="s">
        <v>40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f t="shared" si="23"/>
        <v>0</v>
      </c>
      <c r="P91" s="3">
        <v>0</v>
      </c>
      <c r="Q91" s="3">
        <v>0</v>
      </c>
      <c r="R91" s="3">
        <v>0</v>
      </c>
      <c r="S91" s="3">
        <v>0</v>
      </c>
      <c r="T91" s="3">
        <f t="shared" si="24"/>
        <v>0</v>
      </c>
      <c r="U91" s="3">
        <v>0</v>
      </c>
      <c r="V91" s="3">
        <v>0</v>
      </c>
      <c r="W91" s="3">
        <v>0</v>
      </c>
    </row>
    <row r="92" spans="1:23" s="98" customFormat="1" ht="15">
      <c r="A92" s="285"/>
      <c r="B92" s="103"/>
      <c r="C92" s="103"/>
      <c r="D92" s="100">
        <v>270</v>
      </c>
      <c r="E92" s="2" t="s">
        <v>77</v>
      </c>
      <c r="F92" s="2" t="s">
        <v>21</v>
      </c>
      <c r="G92" s="103" t="s">
        <v>40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f t="shared" si="23"/>
        <v>0</v>
      </c>
      <c r="P92" s="5">
        <v>0</v>
      </c>
      <c r="Q92" s="5">
        <v>0</v>
      </c>
      <c r="R92" s="5">
        <v>0</v>
      </c>
      <c r="S92" s="5">
        <v>0</v>
      </c>
      <c r="T92" s="5">
        <f t="shared" si="24"/>
        <v>0</v>
      </c>
      <c r="U92" s="5">
        <v>0</v>
      </c>
      <c r="V92" s="5">
        <v>0</v>
      </c>
      <c r="W92" s="5">
        <v>0</v>
      </c>
    </row>
    <row r="93" spans="1:23" s="83" customFormat="1" ht="15">
      <c r="A93" s="285"/>
      <c r="B93" s="104"/>
      <c r="C93" s="104"/>
      <c r="D93" s="101"/>
      <c r="E93" s="17"/>
      <c r="F93" s="17"/>
      <c r="G93" s="104"/>
      <c r="H93" s="21"/>
      <c r="I93" s="21"/>
      <c r="J93" s="21"/>
      <c r="K93" s="21"/>
      <c r="L93" s="21"/>
      <c r="M93" s="21"/>
      <c r="N93" s="21"/>
      <c r="O93" s="21">
        <f t="shared" si="23"/>
        <v>0</v>
      </c>
      <c r="P93" s="21"/>
      <c r="Q93" s="21"/>
      <c r="R93" s="21"/>
      <c r="S93" s="21"/>
      <c r="T93" s="21">
        <f t="shared" si="24"/>
        <v>0</v>
      </c>
      <c r="U93" s="21"/>
      <c r="V93" s="21"/>
      <c r="W93" s="21"/>
    </row>
    <row r="94" spans="1:23" s="98" customFormat="1" ht="15" hidden="1">
      <c r="A94" s="285"/>
      <c r="B94" s="102"/>
      <c r="C94" s="102">
        <f>'GASTOS CONSOLIDADO'!B78</f>
        <v>270</v>
      </c>
      <c r="D94" s="43"/>
      <c r="E94" s="1"/>
      <c r="F94" s="1"/>
      <c r="G94" s="102" t="str">
        <f>'GASTOS CONSOLIDADO'!F78</f>
        <v>Servicio Social</v>
      </c>
      <c r="H94" s="3">
        <f aca="true" t="shared" si="26" ref="H94:N94">SUM(H95:H99)</f>
        <v>0</v>
      </c>
      <c r="I94" s="3">
        <f t="shared" si="26"/>
        <v>0</v>
      </c>
      <c r="J94" s="3">
        <f t="shared" si="26"/>
        <v>0</v>
      </c>
      <c r="K94" s="3">
        <f t="shared" si="26"/>
        <v>0</v>
      </c>
      <c r="L94" s="3">
        <f t="shared" si="26"/>
        <v>0</v>
      </c>
      <c r="M94" s="3">
        <f t="shared" si="26"/>
        <v>0</v>
      </c>
      <c r="N94" s="3">
        <f t="shared" si="26"/>
        <v>0</v>
      </c>
      <c r="O94" s="3">
        <f t="shared" si="23"/>
        <v>0</v>
      </c>
      <c r="P94" s="3">
        <f aca="true" t="shared" si="27" ref="P94:W94">SUM(P95:P99)</f>
        <v>0</v>
      </c>
      <c r="Q94" s="3">
        <f t="shared" si="27"/>
        <v>0</v>
      </c>
      <c r="R94" s="3"/>
      <c r="S94" s="3"/>
      <c r="T94" s="3">
        <f t="shared" si="24"/>
        <v>0</v>
      </c>
      <c r="U94" s="3">
        <f t="shared" si="27"/>
        <v>0</v>
      </c>
      <c r="V94" s="3">
        <f t="shared" si="27"/>
        <v>0</v>
      </c>
      <c r="W94" s="3">
        <f t="shared" si="27"/>
        <v>0</v>
      </c>
    </row>
    <row r="95" spans="1:23" s="98" customFormat="1" ht="15" hidden="1">
      <c r="A95" s="285"/>
      <c r="B95" s="103"/>
      <c r="C95" s="103"/>
      <c r="D95" s="100"/>
      <c r="E95" s="2"/>
      <c r="F95" s="2"/>
      <c r="G95" s="103"/>
      <c r="H95" s="5"/>
      <c r="I95" s="5"/>
      <c r="J95" s="5"/>
      <c r="K95" s="5"/>
      <c r="L95" s="5"/>
      <c r="M95" s="5"/>
      <c r="N95" s="5"/>
      <c r="O95" s="5">
        <f t="shared" si="23"/>
        <v>0</v>
      </c>
      <c r="P95" s="5"/>
      <c r="Q95" s="5"/>
      <c r="R95" s="5"/>
      <c r="S95" s="5"/>
      <c r="T95" s="5">
        <f t="shared" si="24"/>
        <v>0</v>
      </c>
      <c r="U95" s="5"/>
      <c r="V95" s="5"/>
      <c r="W95" s="5"/>
    </row>
    <row r="96" spans="1:23" s="98" customFormat="1" ht="15" hidden="1">
      <c r="A96" s="285"/>
      <c r="B96" s="103"/>
      <c r="C96" s="103"/>
      <c r="D96" s="100">
        <f>'GASTOS CONSOLIDADO'!C80</f>
        <v>270</v>
      </c>
      <c r="E96" s="2" t="str">
        <f>'GASTOS CONSOLIDADO'!D80</f>
        <v>30</v>
      </c>
      <c r="F96" s="2" t="str">
        <f>'GASTOS CONSOLIDADO'!E80</f>
        <v>008</v>
      </c>
      <c r="G96" s="103" t="str">
        <f>'GASTOS CONSOLIDADO'!F80</f>
        <v>Servicio Social</v>
      </c>
      <c r="H96" s="5">
        <f>'GASTOS CONSOLIDADO'!G80</f>
        <v>0</v>
      </c>
      <c r="I96" s="5">
        <f>'GASTOS CONSOLIDADO'!H80</f>
        <v>0</v>
      </c>
      <c r="J96" s="5">
        <f>H96+I96</f>
        <v>0</v>
      </c>
      <c r="K96" s="5">
        <v>0</v>
      </c>
      <c r="L96" s="5">
        <v>0</v>
      </c>
      <c r="M96" s="5">
        <v>0</v>
      </c>
      <c r="N96" s="5">
        <v>0</v>
      </c>
      <c r="O96" s="5">
        <f t="shared" si="23"/>
        <v>0</v>
      </c>
      <c r="P96" s="5">
        <v>0</v>
      </c>
      <c r="Q96" s="5">
        <v>0</v>
      </c>
      <c r="R96" s="5"/>
      <c r="S96" s="5"/>
      <c r="T96" s="5">
        <f t="shared" si="24"/>
        <v>0</v>
      </c>
      <c r="U96" s="5">
        <v>0</v>
      </c>
      <c r="V96" s="5">
        <v>0</v>
      </c>
      <c r="W96" s="5">
        <v>0</v>
      </c>
    </row>
    <row r="97" spans="1:23" s="98" customFormat="1" ht="15" hidden="1">
      <c r="A97" s="285"/>
      <c r="B97" s="103"/>
      <c r="C97" s="103"/>
      <c r="D97" s="100">
        <f>'GASTOS CONSOLIDADO'!C81</f>
        <v>270</v>
      </c>
      <c r="E97" s="2" t="str">
        <f>'GASTOS CONSOLIDADO'!D81</f>
        <v>30</v>
      </c>
      <c r="F97" s="2" t="str">
        <f>'GASTOS CONSOLIDADO'!E81</f>
        <v>007</v>
      </c>
      <c r="G97" s="103" t="str">
        <f>'GASTOS CONSOLIDADO'!F81</f>
        <v>Servicio Social</v>
      </c>
      <c r="H97" s="5">
        <f>'GASTOS CONSOLIDADO'!G81</f>
        <v>0</v>
      </c>
      <c r="I97" s="5">
        <f>'GASTOS CONSOLIDADO'!H81</f>
        <v>0</v>
      </c>
      <c r="J97" s="5">
        <f>H97+I97</f>
        <v>0</v>
      </c>
      <c r="K97" s="5">
        <v>0</v>
      </c>
      <c r="L97" s="5">
        <v>0</v>
      </c>
      <c r="M97" s="5">
        <v>0</v>
      </c>
      <c r="N97" s="5">
        <v>0</v>
      </c>
      <c r="O97" s="5">
        <f t="shared" si="23"/>
        <v>0</v>
      </c>
      <c r="P97" s="5">
        <v>0</v>
      </c>
      <c r="Q97" s="5">
        <v>0</v>
      </c>
      <c r="R97" s="5"/>
      <c r="S97" s="5"/>
      <c r="T97" s="5">
        <f t="shared" si="24"/>
        <v>0</v>
      </c>
      <c r="U97" s="5">
        <v>0</v>
      </c>
      <c r="V97" s="5">
        <v>0</v>
      </c>
      <c r="W97" s="5">
        <v>0</v>
      </c>
    </row>
    <row r="98" spans="1:23" s="98" customFormat="1" ht="15" hidden="1">
      <c r="A98" s="285"/>
      <c r="B98" s="103"/>
      <c r="C98" s="103"/>
      <c r="D98" s="100">
        <f>'GASTOS CONSOLIDADO'!C82</f>
        <v>270</v>
      </c>
      <c r="E98" s="2" t="str">
        <f>'GASTOS CONSOLIDADO'!D82</f>
        <v>30</v>
      </c>
      <c r="F98" s="2" t="str">
        <f>'GASTOS CONSOLIDADO'!E82</f>
        <v>001</v>
      </c>
      <c r="G98" s="103" t="str">
        <f>'GASTOS CONSOLIDADO'!F82</f>
        <v>Servicio Social</v>
      </c>
      <c r="H98" s="5">
        <f>'GASTOS CONSOLIDADO'!G82</f>
        <v>0</v>
      </c>
      <c r="I98" s="5">
        <f>'GASTOS CONSOLIDADO'!H82</f>
        <v>0</v>
      </c>
      <c r="J98" s="5">
        <f>H98+I98</f>
        <v>0</v>
      </c>
      <c r="K98" s="5">
        <v>0</v>
      </c>
      <c r="L98" s="5">
        <v>0</v>
      </c>
      <c r="M98" s="5">
        <v>0</v>
      </c>
      <c r="N98" s="5">
        <v>0</v>
      </c>
      <c r="O98" s="5">
        <f t="shared" si="23"/>
        <v>0</v>
      </c>
      <c r="P98" s="5">
        <v>0</v>
      </c>
      <c r="Q98" s="5">
        <v>0</v>
      </c>
      <c r="R98" s="5"/>
      <c r="S98" s="5"/>
      <c r="T98" s="5">
        <f t="shared" si="24"/>
        <v>0</v>
      </c>
      <c r="U98" s="5">
        <v>0</v>
      </c>
      <c r="V98" s="5">
        <v>0</v>
      </c>
      <c r="W98" s="5">
        <v>0</v>
      </c>
    </row>
    <row r="99" spans="1:23" s="83" customFormat="1" ht="15" hidden="1">
      <c r="A99" s="285"/>
      <c r="B99" s="104"/>
      <c r="C99" s="104"/>
      <c r="D99" s="101"/>
      <c r="E99" s="17"/>
      <c r="F99" s="17"/>
      <c r="G99" s="104"/>
      <c r="H99" s="21"/>
      <c r="I99" s="21"/>
      <c r="J99" s="21"/>
      <c r="K99" s="21"/>
      <c r="L99" s="21"/>
      <c r="M99" s="21"/>
      <c r="N99" s="21"/>
      <c r="O99" s="21">
        <f t="shared" si="23"/>
        <v>0</v>
      </c>
      <c r="P99" s="21"/>
      <c r="Q99" s="21"/>
      <c r="R99" s="21"/>
      <c r="S99" s="21"/>
      <c r="T99" s="21">
        <f t="shared" si="24"/>
        <v>0</v>
      </c>
      <c r="U99" s="21"/>
      <c r="V99" s="21"/>
      <c r="W99" s="21"/>
    </row>
    <row r="100" spans="1:23" s="98" customFormat="1" ht="15">
      <c r="A100" s="285"/>
      <c r="B100" s="102"/>
      <c r="C100" s="102">
        <f>'GASTOS CONSOLIDADO'!B84</f>
        <v>280</v>
      </c>
      <c r="D100" s="43"/>
      <c r="E100" s="1"/>
      <c r="F100" s="1"/>
      <c r="G100" s="102" t="str">
        <f>'GASTOS CONSOLIDADO'!F84</f>
        <v>Otros Servicios Generales</v>
      </c>
      <c r="H100" s="3">
        <f aca="true" t="shared" si="28" ref="H100:W100">SUM(H101:H105)</f>
        <v>25415643</v>
      </c>
      <c r="I100" s="3">
        <f t="shared" si="28"/>
        <v>20000000</v>
      </c>
      <c r="J100" s="3">
        <f t="shared" si="28"/>
        <v>45415643</v>
      </c>
      <c r="K100" s="3">
        <f t="shared" si="28"/>
        <v>1404673</v>
      </c>
      <c r="L100" s="3">
        <f t="shared" si="28"/>
        <v>645750</v>
      </c>
      <c r="M100" s="3">
        <f t="shared" si="28"/>
        <v>0</v>
      </c>
      <c r="N100" s="3">
        <f t="shared" si="28"/>
        <v>0</v>
      </c>
      <c r="O100" s="3">
        <f t="shared" si="23"/>
        <v>2050423</v>
      </c>
      <c r="P100" s="3">
        <f t="shared" si="28"/>
        <v>4799986</v>
      </c>
      <c r="Q100" s="3">
        <f t="shared" si="28"/>
        <v>746300</v>
      </c>
      <c r="R100" s="3">
        <f t="shared" si="28"/>
        <v>35945900</v>
      </c>
      <c r="S100" s="3">
        <f t="shared" si="28"/>
        <v>991140</v>
      </c>
      <c r="T100" s="3">
        <f t="shared" si="24"/>
        <v>44533749</v>
      </c>
      <c r="U100" s="3">
        <f t="shared" si="28"/>
        <v>881894</v>
      </c>
      <c r="V100" s="3">
        <f t="shared" si="28"/>
        <v>44533749</v>
      </c>
      <c r="W100" s="3">
        <f t="shared" si="28"/>
        <v>0</v>
      </c>
    </row>
    <row r="101" spans="1:23" s="98" customFormat="1" ht="15">
      <c r="A101" s="285"/>
      <c r="B101" s="103"/>
      <c r="C101" s="103"/>
      <c r="D101" s="100">
        <f>'GASTOS CONSOLIDADO'!C86</f>
        <v>280</v>
      </c>
      <c r="E101" s="2" t="str">
        <f>'GASTOS CONSOLIDADO'!D86</f>
        <v>30</v>
      </c>
      <c r="F101" s="2" t="str">
        <f>'GASTOS CONSOLIDADO'!E86</f>
        <v>001</v>
      </c>
      <c r="G101" s="103" t="str">
        <f>'GASTOS CONSOLIDADO'!F86</f>
        <v>Otros Servicios Generales</v>
      </c>
      <c r="H101" s="5">
        <f>'GASTOS CONSOLIDADO'!G86</f>
        <v>25415643</v>
      </c>
      <c r="I101" s="5">
        <f>'GASTOS CONSOLIDADO'!H86</f>
        <v>20000000</v>
      </c>
      <c r="J101" s="5">
        <f>H101+I101</f>
        <v>45415643</v>
      </c>
      <c r="K101" s="5">
        <v>1404673</v>
      </c>
      <c r="L101" s="5">
        <v>645750</v>
      </c>
      <c r="M101" s="5">
        <v>0</v>
      </c>
      <c r="N101" s="5">
        <v>0</v>
      </c>
      <c r="O101" s="5">
        <f t="shared" si="23"/>
        <v>2050423</v>
      </c>
      <c r="P101" s="5">
        <v>4799986</v>
      </c>
      <c r="Q101" s="5">
        <v>746300</v>
      </c>
      <c r="R101" s="5">
        <f>+HOJA!D49</f>
        <v>35945900</v>
      </c>
      <c r="S101" s="5">
        <f>+HOJA!D139</f>
        <v>991140</v>
      </c>
      <c r="T101" s="5">
        <f t="shared" si="24"/>
        <v>44533749</v>
      </c>
      <c r="U101" s="5">
        <f>J101-T101</f>
        <v>881894</v>
      </c>
      <c r="V101" s="5">
        <f>+J101-U101</f>
        <v>44533749</v>
      </c>
      <c r="W101" s="5">
        <f>+T101-V101</f>
        <v>0</v>
      </c>
    </row>
    <row r="102" spans="1:23" s="98" customFormat="1" ht="15">
      <c r="A102" s="285"/>
      <c r="B102" s="103"/>
      <c r="C102" s="103"/>
      <c r="D102" s="100"/>
      <c r="E102" s="2"/>
      <c r="F102" s="2"/>
      <c r="G102" s="103"/>
      <c r="H102" s="5"/>
      <c r="I102" s="5"/>
      <c r="J102" s="5"/>
      <c r="K102" s="5"/>
      <c r="L102" s="5"/>
      <c r="M102" s="5"/>
      <c r="N102" s="5"/>
      <c r="O102" s="5">
        <f t="shared" si="23"/>
        <v>0</v>
      </c>
      <c r="P102" s="5"/>
      <c r="Q102" s="5"/>
      <c r="R102" s="5"/>
      <c r="S102" s="5"/>
      <c r="T102" s="5">
        <f t="shared" si="24"/>
        <v>0</v>
      </c>
      <c r="U102" s="5"/>
      <c r="V102" s="5"/>
      <c r="W102" s="5"/>
    </row>
    <row r="103" spans="1:23" s="328" customFormat="1" ht="15.75">
      <c r="A103" s="327"/>
      <c r="B103" s="102"/>
      <c r="C103" s="102">
        <v>290</v>
      </c>
      <c r="D103" s="43"/>
      <c r="E103" s="1"/>
      <c r="F103" s="1"/>
      <c r="G103" s="102" t="s">
        <v>520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f t="shared" si="23"/>
        <v>0</v>
      </c>
      <c r="P103" s="3">
        <v>0</v>
      </c>
      <c r="Q103" s="3">
        <v>0</v>
      </c>
      <c r="R103" s="3"/>
      <c r="S103" s="3"/>
      <c r="T103" s="3">
        <f t="shared" si="24"/>
        <v>0</v>
      </c>
      <c r="U103" s="3">
        <v>0</v>
      </c>
      <c r="V103" s="3">
        <v>0</v>
      </c>
      <c r="W103" s="3">
        <v>0</v>
      </c>
    </row>
    <row r="104" spans="1:23" s="98" customFormat="1" ht="15">
      <c r="A104" s="285"/>
      <c r="B104" s="103"/>
      <c r="C104" s="103"/>
      <c r="D104" s="100">
        <v>290</v>
      </c>
      <c r="E104" s="2" t="s">
        <v>77</v>
      </c>
      <c r="F104" s="2" t="s">
        <v>21</v>
      </c>
      <c r="G104" s="103" t="s">
        <v>520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f t="shared" si="23"/>
        <v>0</v>
      </c>
      <c r="P104" s="5">
        <v>0</v>
      </c>
      <c r="Q104" s="5">
        <v>0</v>
      </c>
      <c r="R104" s="5"/>
      <c r="S104" s="5"/>
      <c r="T104" s="5">
        <f t="shared" si="24"/>
        <v>0</v>
      </c>
      <c r="U104" s="5">
        <v>0</v>
      </c>
      <c r="V104" s="5">
        <v>0</v>
      </c>
      <c r="W104" s="5">
        <v>0</v>
      </c>
    </row>
    <row r="105" spans="1:23" s="83" customFormat="1" ht="15">
      <c r="A105" s="285"/>
      <c r="B105" s="104"/>
      <c r="C105" s="104"/>
      <c r="D105" s="101"/>
      <c r="E105" s="17"/>
      <c r="F105" s="17"/>
      <c r="G105" s="104"/>
      <c r="H105" s="21"/>
      <c r="I105" s="21"/>
      <c r="J105" s="21"/>
      <c r="K105" s="21"/>
      <c r="L105" s="21"/>
      <c r="M105" s="21"/>
      <c r="N105" s="21"/>
      <c r="O105" s="21">
        <f t="shared" si="23"/>
        <v>0</v>
      </c>
      <c r="P105" s="21"/>
      <c r="Q105" s="21"/>
      <c r="R105" s="21"/>
      <c r="S105" s="21"/>
      <c r="T105" s="21">
        <f t="shared" si="24"/>
        <v>0</v>
      </c>
      <c r="U105" s="21"/>
      <c r="V105" s="21"/>
      <c r="W105" s="21"/>
    </row>
    <row r="106" spans="1:23" s="98" customFormat="1" ht="15" hidden="1">
      <c r="A106" s="285"/>
      <c r="B106" s="43"/>
      <c r="C106" s="43">
        <f>'GASTOS CONSOLIDADO'!B88</f>
        <v>290</v>
      </c>
      <c r="D106" s="43"/>
      <c r="E106" s="1"/>
      <c r="F106" s="1"/>
      <c r="G106" s="13" t="str">
        <f>'GASTOS CONSOLIDADO'!F88</f>
        <v>Servicios de Capacitación y Adiestramiento</v>
      </c>
      <c r="H106" s="3">
        <f aca="true" t="shared" si="29" ref="H106:N106">SUM(H107:H108)</f>
        <v>0</v>
      </c>
      <c r="I106" s="3">
        <f t="shared" si="29"/>
        <v>0</v>
      </c>
      <c r="J106" s="3">
        <f t="shared" si="29"/>
        <v>0</v>
      </c>
      <c r="K106" s="3">
        <f t="shared" si="29"/>
        <v>0</v>
      </c>
      <c r="L106" s="3">
        <f t="shared" si="29"/>
        <v>0</v>
      </c>
      <c r="M106" s="3">
        <f t="shared" si="29"/>
        <v>0</v>
      </c>
      <c r="N106" s="3">
        <f t="shared" si="29"/>
        <v>0</v>
      </c>
      <c r="O106" s="3">
        <f t="shared" si="23"/>
        <v>0</v>
      </c>
      <c r="P106" s="3">
        <f aca="true" t="shared" si="30" ref="P106:W106">SUM(P107:P108)</f>
        <v>0</v>
      </c>
      <c r="Q106" s="3">
        <f t="shared" si="30"/>
        <v>0</v>
      </c>
      <c r="R106" s="3"/>
      <c r="S106" s="3"/>
      <c r="T106" s="3">
        <f t="shared" si="24"/>
        <v>0</v>
      </c>
      <c r="U106" s="3">
        <f t="shared" si="30"/>
        <v>0</v>
      </c>
      <c r="V106" s="3">
        <f t="shared" si="30"/>
        <v>0</v>
      </c>
      <c r="W106" s="3">
        <f t="shared" si="30"/>
        <v>0</v>
      </c>
    </row>
    <row r="107" spans="1:23" s="98" customFormat="1" ht="15" hidden="1">
      <c r="A107" s="285"/>
      <c r="B107" s="100"/>
      <c r="C107" s="100"/>
      <c r="D107" s="100"/>
      <c r="E107" s="2"/>
      <c r="F107" s="2"/>
      <c r="G107" s="23"/>
      <c r="H107" s="5"/>
      <c r="I107" s="5"/>
      <c r="J107" s="5"/>
      <c r="K107" s="5"/>
      <c r="L107" s="5"/>
      <c r="M107" s="5"/>
      <c r="N107" s="5"/>
      <c r="O107" s="5">
        <f t="shared" si="23"/>
        <v>0</v>
      </c>
      <c r="P107" s="5"/>
      <c r="Q107" s="5"/>
      <c r="R107" s="5"/>
      <c r="S107" s="5"/>
      <c r="T107" s="5">
        <f t="shared" si="24"/>
        <v>0</v>
      </c>
      <c r="U107" s="5"/>
      <c r="V107" s="5"/>
      <c r="W107" s="5"/>
    </row>
    <row r="108" spans="1:23" s="98" customFormat="1" ht="15" hidden="1">
      <c r="A108" s="285"/>
      <c r="B108" s="100"/>
      <c r="C108" s="100"/>
      <c r="D108" s="100">
        <f>'GASTOS CONSOLIDADO'!C90</f>
        <v>290</v>
      </c>
      <c r="E108" s="2" t="str">
        <f>'GASTOS CONSOLIDADO'!D90</f>
        <v>30</v>
      </c>
      <c r="F108" s="2" t="str">
        <f>'GASTOS CONSOLIDADO'!E90</f>
        <v>001</v>
      </c>
      <c r="G108" s="23" t="str">
        <f>'GASTOS CONSOLIDADO'!F90</f>
        <v>Servicios de Capacitación y Adiestramiento</v>
      </c>
      <c r="H108" s="5">
        <f>'GASTOS CONSOLIDADO'!G90</f>
        <v>0</v>
      </c>
      <c r="I108" s="5">
        <f>'GASTOS CONSOLIDADO'!H90</f>
        <v>0</v>
      </c>
      <c r="J108" s="5">
        <f>H108+I108</f>
        <v>0</v>
      </c>
      <c r="K108" s="5">
        <v>0</v>
      </c>
      <c r="L108" s="5">
        <v>0</v>
      </c>
      <c r="M108" s="5">
        <v>0</v>
      </c>
      <c r="N108" s="5">
        <v>0</v>
      </c>
      <c r="O108" s="5">
        <f t="shared" si="23"/>
        <v>0</v>
      </c>
      <c r="P108" s="5">
        <v>0</v>
      </c>
      <c r="Q108" s="5">
        <v>0</v>
      </c>
      <c r="R108" s="5"/>
      <c r="S108" s="5"/>
      <c r="T108" s="5">
        <f t="shared" si="24"/>
        <v>0</v>
      </c>
      <c r="U108" s="5">
        <v>0</v>
      </c>
      <c r="V108" s="5">
        <v>0</v>
      </c>
      <c r="W108" s="5">
        <v>0</v>
      </c>
    </row>
    <row r="109" spans="1:23" s="83" customFormat="1" ht="15" hidden="1">
      <c r="A109" s="285"/>
      <c r="B109" s="104"/>
      <c r="C109" s="104"/>
      <c r="D109" s="101"/>
      <c r="E109" s="17"/>
      <c r="F109" s="17"/>
      <c r="G109" s="104"/>
      <c r="H109" s="21"/>
      <c r="I109" s="21"/>
      <c r="J109" s="21"/>
      <c r="K109" s="21"/>
      <c r="L109" s="21"/>
      <c r="M109" s="21"/>
      <c r="N109" s="21"/>
      <c r="O109" s="21">
        <f t="shared" si="23"/>
        <v>0</v>
      </c>
      <c r="P109" s="21"/>
      <c r="Q109" s="21"/>
      <c r="R109" s="21"/>
      <c r="S109" s="21"/>
      <c r="T109" s="21">
        <f t="shared" si="24"/>
        <v>0</v>
      </c>
      <c r="U109" s="21"/>
      <c r="V109" s="21"/>
      <c r="W109" s="21"/>
    </row>
    <row r="110" spans="1:23" s="98" customFormat="1" ht="15">
      <c r="A110" s="285"/>
      <c r="B110" s="43">
        <f>'GASTOS CONSOLIDADO'!A92</f>
        <v>300</v>
      </c>
      <c r="C110" s="43"/>
      <c r="D110" s="43"/>
      <c r="E110" s="1"/>
      <c r="F110" s="1"/>
      <c r="G110" s="102" t="str">
        <f>'GASTOS CONSOLIDADO'!F92</f>
        <v>BIENES DE CONSUMO E INSUMOS</v>
      </c>
      <c r="H110" s="3">
        <f>H111+H115+H119+H125+H131+H135+H141</f>
        <v>174417554</v>
      </c>
      <c r="I110" s="3">
        <f aca="true" t="shared" si="31" ref="I110:W110">I111+I115+I119+I125+I131+I135+I141</f>
        <v>-10000000</v>
      </c>
      <c r="J110" s="3">
        <f t="shared" si="31"/>
        <v>164417554</v>
      </c>
      <c r="K110" s="3">
        <f t="shared" si="31"/>
        <v>3350828</v>
      </c>
      <c r="L110" s="3">
        <f t="shared" si="31"/>
        <v>3963300</v>
      </c>
      <c r="M110" s="3">
        <f t="shared" si="31"/>
        <v>0</v>
      </c>
      <c r="N110" s="3">
        <f t="shared" si="31"/>
        <v>5667010</v>
      </c>
      <c r="O110" s="3">
        <f t="shared" si="23"/>
        <v>12981138</v>
      </c>
      <c r="P110" s="3">
        <f t="shared" si="31"/>
        <v>19002896</v>
      </c>
      <c r="Q110" s="3">
        <f t="shared" si="31"/>
        <v>38739590</v>
      </c>
      <c r="R110" s="3">
        <f t="shared" si="31"/>
        <v>18987150</v>
      </c>
      <c r="S110" s="3">
        <f t="shared" si="31"/>
        <v>16380002</v>
      </c>
      <c r="T110" s="3">
        <f t="shared" si="24"/>
        <v>106090776</v>
      </c>
      <c r="U110" s="3">
        <f t="shared" si="31"/>
        <v>58326778</v>
      </c>
      <c r="V110" s="3">
        <f t="shared" si="31"/>
        <v>106090776</v>
      </c>
      <c r="W110" s="3">
        <f t="shared" si="31"/>
        <v>0</v>
      </c>
    </row>
    <row r="111" spans="1:23" s="98" customFormat="1" ht="15">
      <c r="A111" s="285"/>
      <c r="B111" s="102"/>
      <c r="C111" s="102">
        <f>'GASTOS CONSOLIDADO'!B93</f>
        <v>310</v>
      </c>
      <c r="D111" s="43"/>
      <c r="E111" s="1"/>
      <c r="F111" s="1"/>
      <c r="G111" s="102" t="str">
        <f>'GASTOS CONSOLIDADO'!F93</f>
        <v>Productos  Alimenticios</v>
      </c>
      <c r="H111" s="3">
        <f aca="true" t="shared" si="32" ref="H111:W111">SUM(H112:H114)</f>
        <v>25185000</v>
      </c>
      <c r="I111" s="3">
        <f t="shared" si="32"/>
        <v>0</v>
      </c>
      <c r="J111" s="3">
        <f t="shared" si="32"/>
        <v>25185000</v>
      </c>
      <c r="K111" s="3">
        <f t="shared" si="32"/>
        <v>16500</v>
      </c>
      <c r="L111" s="3">
        <f t="shared" si="32"/>
        <v>539000</v>
      </c>
      <c r="M111" s="3">
        <f t="shared" si="32"/>
        <v>0</v>
      </c>
      <c r="N111" s="3">
        <f t="shared" si="32"/>
        <v>0</v>
      </c>
      <c r="O111" s="3">
        <f t="shared" si="23"/>
        <v>555500</v>
      </c>
      <c r="P111" s="3">
        <f t="shared" si="32"/>
        <v>173350</v>
      </c>
      <c r="Q111" s="3">
        <f t="shared" si="32"/>
        <v>2611600</v>
      </c>
      <c r="R111" s="3">
        <f t="shared" si="32"/>
        <v>11500</v>
      </c>
      <c r="S111" s="3">
        <f t="shared" si="32"/>
        <v>21000</v>
      </c>
      <c r="T111" s="3">
        <f t="shared" si="24"/>
        <v>3372950</v>
      </c>
      <c r="U111" s="3">
        <f t="shared" si="32"/>
        <v>21812050</v>
      </c>
      <c r="V111" s="3">
        <f t="shared" si="32"/>
        <v>3372950</v>
      </c>
      <c r="W111" s="3">
        <f t="shared" si="32"/>
        <v>0</v>
      </c>
    </row>
    <row r="112" spans="1:23" s="98" customFormat="1" ht="15" hidden="1">
      <c r="A112" s="285"/>
      <c r="B112" s="103"/>
      <c r="C112" s="103"/>
      <c r="D112" s="100">
        <f>'GASTOS CONSOLIDADO'!C94</f>
        <v>310</v>
      </c>
      <c r="E112" s="2" t="str">
        <f>'GASTOS CONSOLIDADO'!D94</f>
        <v>30</v>
      </c>
      <c r="F112" s="2" t="str">
        <f>'GASTOS CONSOLIDADO'!E94</f>
        <v>008</v>
      </c>
      <c r="G112" s="103" t="str">
        <f>'GASTOS CONSOLIDADO'!F94</f>
        <v>Productos  Alimenticios</v>
      </c>
      <c r="H112" s="5">
        <f>'GASTOS CONSOLIDADO'!G94</f>
        <v>0</v>
      </c>
      <c r="I112" s="5">
        <f>'GASTOS CONSOLIDADO'!H94</f>
        <v>0</v>
      </c>
      <c r="J112" s="5">
        <f>H112+I112</f>
        <v>0</v>
      </c>
      <c r="K112" s="5">
        <v>0</v>
      </c>
      <c r="L112" s="5">
        <v>0</v>
      </c>
      <c r="M112" s="5">
        <v>0</v>
      </c>
      <c r="N112" s="5">
        <v>0</v>
      </c>
      <c r="O112" s="5">
        <f t="shared" si="23"/>
        <v>0</v>
      </c>
      <c r="P112" s="5">
        <v>0</v>
      </c>
      <c r="Q112" s="5">
        <v>0</v>
      </c>
      <c r="R112" s="5"/>
      <c r="S112" s="5"/>
      <c r="T112" s="5">
        <f t="shared" si="24"/>
        <v>0</v>
      </c>
      <c r="U112" s="5">
        <v>0</v>
      </c>
      <c r="V112" s="5">
        <v>0</v>
      </c>
      <c r="W112" s="5">
        <v>0</v>
      </c>
    </row>
    <row r="113" spans="1:23" s="98" customFormat="1" ht="15">
      <c r="A113" s="285"/>
      <c r="B113" s="103"/>
      <c r="C113" s="103"/>
      <c r="D113" s="100">
        <f>'GASTOS CONSOLIDADO'!C95</f>
        <v>310</v>
      </c>
      <c r="E113" s="2" t="str">
        <f>'GASTOS CONSOLIDADO'!D95</f>
        <v>30</v>
      </c>
      <c r="F113" s="2" t="str">
        <f>'GASTOS CONSOLIDADO'!E95</f>
        <v>001</v>
      </c>
      <c r="G113" s="103" t="str">
        <f>'GASTOS CONSOLIDADO'!F95</f>
        <v>Productos  Alimenticios</v>
      </c>
      <c r="H113" s="5">
        <f>'GASTOS CONSOLIDADO'!G95</f>
        <v>25185000</v>
      </c>
      <c r="I113" s="5">
        <f>'GASTOS CONSOLIDADO'!H95</f>
        <v>0</v>
      </c>
      <c r="J113" s="5">
        <f>H113+I113</f>
        <v>25185000</v>
      </c>
      <c r="K113" s="5">
        <v>16500</v>
      </c>
      <c r="L113" s="5">
        <v>539000</v>
      </c>
      <c r="M113" s="5">
        <v>0</v>
      </c>
      <c r="N113" s="5">
        <v>0</v>
      </c>
      <c r="O113" s="5">
        <f t="shared" si="23"/>
        <v>555500</v>
      </c>
      <c r="P113" s="5">
        <v>173350</v>
      </c>
      <c r="Q113" s="5">
        <v>2611600</v>
      </c>
      <c r="R113" s="5">
        <f>+HOJA!D50</f>
        <v>11500</v>
      </c>
      <c r="S113" s="5">
        <f>+HOJA!D141</f>
        <v>21000</v>
      </c>
      <c r="T113" s="5">
        <f t="shared" si="24"/>
        <v>3372950</v>
      </c>
      <c r="U113" s="5">
        <f>J113-T113</f>
        <v>21812050</v>
      </c>
      <c r="V113" s="5">
        <f>+J113-U113</f>
        <v>3372950</v>
      </c>
      <c r="W113" s="5">
        <f>+T113-V113</f>
        <v>0</v>
      </c>
    </row>
    <row r="114" spans="1:23" s="83" customFormat="1" ht="15">
      <c r="A114" s="285"/>
      <c r="B114" s="104"/>
      <c r="C114" s="104"/>
      <c r="D114" s="101"/>
      <c r="E114" s="17"/>
      <c r="F114" s="17"/>
      <c r="G114" s="104"/>
      <c r="H114" s="21"/>
      <c r="I114" s="21"/>
      <c r="J114" s="21"/>
      <c r="K114" s="21"/>
      <c r="L114" s="21"/>
      <c r="M114" s="21"/>
      <c r="N114" s="21"/>
      <c r="O114" s="21">
        <f t="shared" si="23"/>
        <v>0</v>
      </c>
      <c r="P114" s="21"/>
      <c r="Q114" s="21"/>
      <c r="R114" s="21"/>
      <c r="S114" s="21"/>
      <c r="T114" s="21">
        <f t="shared" si="24"/>
        <v>0</v>
      </c>
      <c r="U114" s="21"/>
      <c r="V114" s="21"/>
      <c r="W114" s="21"/>
    </row>
    <row r="115" spans="1:23" s="98" customFormat="1" ht="15">
      <c r="A115" s="285"/>
      <c r="B115" s="102"/>
      <c r="C115" s="102">
        <f>'GASTOS CONSOLIDADO'!B97</f>
        <v>320</v>
      </c>
      <c r="D115" s="43"/>
      <c r="E115" s="1"/>
      <c r="F115" s="1"/>
      <c r="G115" s="102" t="str">
        <f>'GASTOS CONSOLIDADO'!F97</f>
        <v>Textiles y Vestuarios</v>
      </c>
      <c r="H115" s="3">
        <f aca="true" t="shared" si="33" ref="H115:W115">SUM(H116:H118)</f>
        <v>8424000</v>
      </c>
      <c r="I115" s="3">
        <f t="shared" si="33"/>
        <v>0</v>
      </c>
      <c r="J115" s="3">
        <f t="shared" si="33"/>
        <v>8424000</v>
      </c>
      <c r="K115" s="3">
        <f t="shared" si="33"/>
        <v>0</v>
      </c>
      <c r="L115" s="3">
        <f t="shared" si="33"/>
        <v>0</v>
      </c>
      <c r="M115" s="3">
        <f t="shared" si="33"/>
        <v>0</v>
      </c>
      <c r="N115" s="3">
        <f t="shared" si="33"/>
        <v>0</v>
      </c>
      <c r="O115" s="3">
        <f t="shared" si="23"/>
        <v>0</v>
      </c>
      <c r="P115" s="3">
        <f t="shared" si="33"/>
        <v>0</v>
      </c>
      <c r="Q115" s="3">
        <f t="shared" si="33"/>
        <v>0</v>
      </c>
      <c r="R115" s="3">
        <f t="shared" si="33"/>
        <v>0</v>
      </c>
      <c r="S115" s="3">
        <f t="shared" si="33"/>
        <v>0</v>
      </c>
      <c r="T115" s="3">
        <f t="shared" si="24"/>
        <v>0</v>
      </c>
      <c r="U115" s="3">
        <f t="shared" si="33"/>
        <v>8424000</v>
      </c>
      <c r="V115" s="3">
        <f t="shared" si="33"/>
        <v>0</v>
      </c>
      <c r="W115" s="3">
        <f t="shared" si="33"/>
        <v>0</v>
      </c>
    </row>
    <row r="116" spans="1:23" s="98" customFormat="1" ht="15" hidden="1">
      <c r="A116" s="285"/>
      <c r="B116" s="103"/>
      <c r="C116" s="103"/>
      <c r="D116" s="100">
        <f>'GASTOS CONSOLIDADO'!C98</f>
        <v>320</v>
      </c>
      <c r="E116" s="2" t="str">
        <f>'GASTOS CONSOLIDADO'!D98</f>
        <v>30</v>
      </c>
      <c r="F116" s="2" t="str">
        <f>'GASTOS CONSOLIDADO'!E98</f>
        <v>007</v>
      </c>
      <c r="G116" s="103" t="str">
        <f>'GASTOS CONSOLIDADO'!F98</f>
        <v>Textiles y Vestuarios</v>
      </c>
      <c r="H116" s="5">
        <f>'GASTOS CONSOLIDADO'!G98</f>
        <v>0</v>
      </c>
      <c r="I116" s="5">
        <f>'GASTOS CONSOLIDADO'!H98</f>
        <v>0</v>
      </c>
      <c r="J116" s="5">
        <f>H116+I116</f>
        <v>0</v>
      </c>
      <c r="K116" s="5">
        <v>0</v>
      </c>
      <c r="L116" s="5">
        <v>0</v>
      </c>
      <c r="M116" s="5">
        <v>0</v>
      </c>
      <c r="N116" s="5">
        <v>0</v>
      </c>
      <c r="O116" s="5">
        <f t="shared" si="23"/>
        <v>0</v>
      </c>
      <c r="P116" s="5">
        <v>0</v>
      </c>
      <c r="Q116" s="5">
        <v>0</v>
      </c>
      <c r="R116" s="5"/>
      <c r="S116" s="5"/>
      <c r="T116" s="5">
        <f t="shared" si="24"/>
        <v>0</v>
      </c>
      <c r="U116" s="5">
        <v>0</v>
      </c>
      <c r="V116" s="5">
        <v>0</v>
      </c>
      <c r="W116" s="5">
        <v>0</v>
      </c>
    </row>
    <row r="117" spans="1:23" s="98" customFormat="1" ht="15">
      <c r="A117" s="285"/>
      <c r="B117" s="103"/>
      <c r="C117" s="103"/>
      <c r="D117" s="100">
        <f>'GASTOS CONSOLIDADO'!C99</f>
        <v>320</v>
      </c>
      <c r="E117" s="2" t="str">
        <f>'GASTOS CONSOLIDADO'!D99</f>
        <v>30</v>
      </c>
      <c r="F117" s="2" t="str">
        <f>'GASTOS CONSOLIDADO'!E99</f>
        <v>001</v>
      </c>
      <c r="G117" s="103" t="str">
        <f>'GASTOS CONSOLIDADO'!F99</f>
        <v>Textiles y Vestuarios</v>
      </c>
      <c r="H117" s="5">
        <f>'GASTOS CONSOLIDADO'!G99</f>
        <v>8424000</v>
      </c>
      <c r="I117" s="5">
        <f>'GASTOS CONSOLIDADO'!H99</f>
        <v>0</v>
      </c>
      <c r="J117" s="5">
        <f>H117+I117</f>
        <v>8424000</v>
      </c>
      <c r="K117" s="5">
        <v>0</v>
      </c>
      <c r="L117" s="5">
        <v>0</v>
      </c>
      <c r="M117" s="5">
        <v>0</v>
      </c>
      <c r="N117" s="5">
        <v>0</v>
      </c>
      <c r="O117" s="5">
        <f t="shared" si="23"/>
        <v>0</v>
      </c>
      <c r="P117" s="5">
        <v>0</v>
      </c>
      <c r="Q117" s="5">
        <v>0</v>
      </c>
      <c r="R117" s="5">
        <v>0</v>
      </c>
      <c r="S117" s="5">
        <v>0</v>
      </c>
      <c r="T117" s="5">
        <f t="shared" si="24"/>
        <v>0</v>
      </c>
      <c r="U117" s="5">
        <f>J117-T117</f>
        <v>8424000</v>
      </c>
      <c r="V117" s="5">
        <f>+J117-U117</f>
        <v>0</v>
      </c>
      <c r="W117" s="5">
        <f>+T117-V117</f>
        <v>0</v>
      </c>
    </row>
    <row r="118" spans="1:23" s="83" customFormat="1" ht="15">
      <c r="A118" s="285"/>
      <c r="B118" s="104"/>
      <c r="C118" s="104"/>
      <c r="D118" s="101"/>
      <c r="E118" s="17"/>
      <c r="F118" s="17"/>
      <c r="G118" s="104"/>
      <c r="H118" s="21"/>
      <c r="I118" s="21"/>
      <c r="J118" s="21"/>
      <c r="K118" s="21"/>
      <c r="L118" s="21"/>
      <c r="M118" s="21"/>
      <c r="N118" s="21"/>
      <c r="O118" s="21">
        <f t="shared" si="23"/>
        <v>0</v>
      </c>
      <c r="P118" s="21"/>
      <c r="Q118" s="21"/>
      <c r="R118" s="21"/>
      <c r="S118" s="21"/>
      <c r="T118" s="21">
        <f t="shared" si="24"/>
        <v>0</v>
      </c>
      <c r="U118" s="21"/>
      <c r="V118" s="21"/>
      <c r="W118" s="21"/>
    </row>
    <row r="119" spans="1:23" s="98" customFormat="1" ht="15">
      <c r="A119" s="285"/>
      <c r="B119" s="102"/>
      <c r="C119" s="102">
        <f>'GASTOS CONSOLIDADO'!B101</f>
        <v>330</v>
      </c>
      <c r="D119" s="43"/>
      <c r="E119" s="1"/>
      <c r="F119" s="1"/>
      <c r="G119" s="102" t="str">
        <f>'GASTOS CONSOLIDADO'!F101</f>
        <v>Productos de Papel, Cartón e Impresos</v>
      </c>
      <c r="H119" s="3">
        <f aca="true" t="shared" si="34" ref="H119:W119">SUM(H120:H124)</f>
        <v>14143200</v>
      </c>
      <c r="I119" s="3">
        <f t="shared" si="34"/>
        <v>0</v>
      </c>
      <c r="J119" s="3">
        <f t="shared" si="34"/>
        <v>14143200</v>
      </c>
      <c r="K119" s="3">
        <f t="shared" si="34"/>
        <v>9500</v>
      </c>
      <c r="L119" s="3">
        <f t="shared" si="34"/>
        <v>158300</v>
      </c>
      <c r="M119" s="3">
        <f t="shared" si="34"/>
        <v>0</v>
      </c>
      <c r="N119" s="3">
        <f t="shared" si="34"/>
        <v>1400000</v>
      </c>
      <c r="O119" s="3">
        <f t="shared" si="23"/>
        <v>1567800</v>
      </c>
      <c r="P119" s="3">
        <f t="shared" si="34"/>
        <v>836624</v>
      </c>
      <c r="Q119" s="3">
        <f t="shared" si="34"/>
        <v>0</v>
      </c>
      <c r="R119" s="3">
        <f t="shared" si="34"/>
        <v>2809100</v>
      </c>
      <c r="S119" s="3">
        <f t="shared" si="34"/>
        <v>5113000</v>
      </c>
      <c r="T119" s="3">
        <f t="shared" si="24"/>
        <v>10326524</v>
      </c>
      <c r="U119" s="3">
        <f t="shared" si="34"/>
        <v>3816676</v>
      </c>
      <c r="V119" s="3">
        <f t="shared" si="34"/>
        <v>10326524</v>
      </c>
      <c r="W119" s="3">
        <f t="shared" si="34"/>
        <v>0</v>
      </c>
    </row>
    <row r="120" spans="1:23" s="98" customFormat="1" ht="15" hidden="1">
      <c r="A120" s="285"/>
      <c r="B120" s="103"/>
      <c r="C120" s="103"/>
      <c r="D120" s="100"/>
      <c r="E120" s="2"/>
      <c r="F120" s="2"/>
      <c r="G120" s="103"/>
      <c r="H120" s="5"/>
      <c r="I120" s="5"/>
      <c r="J120" s="5"/>
      <c r="K120" s="5"/>
      <c r="L120" s="5"/>
      <c r="M120" s="5"/>
      <c r="N120" s="5"/>
      <c r="O120" s="5">
        <f t="shared" si="23"/>
        <v>0</v>
      </c>
      <c r="P120" s="5"/>
      <c r="Q120" s="5"/>
      <c r="R120" s="5"/>
      <c r="S120" s="5"/>
      <c r="T120" s="5">
        <f t="shared" si="24"/>
        <v>0</v>
      </c>
      <c r="U120" s="5"/>
      <c r="V120" s="5"/>
      <c r="W120" s="5"/>
    </row>
    <row r="121" spans="1:23" s="98" customFormat="1" ht="15" hidden="1">
      <c r="A121" s="285"/>
      <c r="B121" s="103"/>
      <c r="C121" s="103"/>
      <c r="D121" s="100">
        <f>'GASTOS CONSOLIDADO'!C103</f>
        <v>330</v>
      </c>
      <c r="E121" s="2" t="str">
        <f>'GASTOS CONSOLIDADO'!D103</f>
        <v>30</v>
      </c>
      <c r="F121" s="2" t="str">
        <f>'GASTOS CONSOLIDADO'!E103</f>
        <v>008</v>
      </c>
      <c r="G121" s="103" t="str">
        <f>'GASTOS CONSOLIDADO'!F103</f>
        <v>Productos de Papel, Cartón e Impresos</v>
      </c>
      <c r="H121" s="5">
        <f>'GASTOS CONSOLIDADO'!G103</f>
        <v>0</v>
      </c>
      <c r="I121" s="5">
        <f>'GASTOS CONSOLIDADO'!H103</f>
        <v>0</v>
      </c>
      <c r="J121" s="5">
        <f>H121+I121</f>
        <v>0</v>
      </c>
      <c r="K121" s="5">
        <v>0</v>
      </c>
      <c r="L121" s="5">
        <v>0</v>
      </c>
      <c r="M121" s="5">
        <v>0</v>
      </c>
      <c r="N121" s="5">
        <v>0</v>
      </c>
      <c r="O121" s="5">
        <f t="shared" si="23"/>
        <v>0</v>
      </c>
      <c r="P121" s="5">
        <v>0</v>
      </c>
      <c r="Q121" s="5">
        <v>0</v>
      </c>
      <c r="R121" s="5"/>
      <c r="S121" s="5"/>
      <c r="T121" s="5">
        <f t="shared" si="24"/>
        <v>0</v>
      </c>
      <c r="U121" s="5">
        <f>J121-T121</f>
        <v>0</v>
      </c>
      <c r="V121" s="5">
        <v>0</v>
      </c>
      <c r="W121" s="5">
        <v>0</v>
      </c>
    </row>
    <row r="122" spans="1:23" s="98" customFormat="1" ht="15" hidden="1">
      <c r="A122" s="285"/>
      <c r="B122" s="103"/>
      <c r="C122" s="103"/>
      <c r="D122" s="100">
        <f>'GASTOS CONSOLIDADO'!C104</f>
        <v>330</v>
      </c>
      <c r="E122" s="2" t="str">
        <f>'GASTOS CONSOLIDADO'!D104</f>
        <v>30</v>
      </c>
      <c r="F122" s="2" t="str">
        <f>'GASTOS CONSOLIDADO'!E104</f>
        <v>007</v>
      </c>
      <c r="G122" s="103" t="str">
        <f>'GASTOS CONSOLIDADO'!F104</f>
        <v>Productos de Papel, Cartón e Impresos</v>
      </c>
      <c r="H122" s="5">
        <f>'GASTOS CONSOLIDADO'!G104</f>
        <v>0</v>
      </c>
      <c r="I122" s="5">
        <f>'GASTOS CONSOLIDADO'!H104</f>
        <v>0</v>
      </c>
      <c r="J122" s="5">
        <f>H122+I122</f>
        <v>0</v>
      </c>
      <c r="K122" s="5">
        <v>0</v>
      </c>
      <c r="L122" s="5">
        <v>0</v>
      </c>
      <c r="M122" s="5">
        <v>0</v>
      </c>
      <c r="N122" s="5">
        <v>0</v>
      </c>
      <c r="O122" s="5">
        <f t="shared" si="23"/>
        <v>0</v>
      </c>
      <c r="P122" s="5">
        <v>0</v>
      </c>
      <c r="Q122" s="5">
        <v>0</v>
      </c>
      <c r="R122" s="5"/>
      <c r="S122" s="5"/>
      <c r="T122" s="5">
        <f t="shared" si="24"/>
        <v>0</v>
      </c>
      <c r="U122" s="5">
        <f>J122-T122</f>
        <v>0</v>
      </c>
      <c r="V122" s="5">
        <v>0</v>
      </c>
      <c r="W122" s="5">
        <v>0</v>
      </c>
    </row>
    <row r="123" spans="1:23" s="98" customFormat="1" ht="15">
      <c r="A123" s="285"/>
      <c r="B123" s="103"/>
      <c r="C123" s="103"/>
      <c r="D123" s="100">
        <f>'GASTOS CONSOLIDADO'!C105</f>
        <v>330</v>
      </c>
      <c r="E123" s="2" t="str">
        <f>'GASTOS CONSOLIDADO'!D105</f>
        <v>30</v>
      </c>
      <c r="F123" s="2" t="str">
        <f>'GASTOS CONSOLIDADO'!E105</f>
        <v>001</v>
      </c>
      <c r="G123" s="103" t="str">
        <f>'GASTOS CONSOLIDADO'!F105</f>
        <v>Productos de Papel, Cartón e Impresos</v>
      </c>
      <c r="H123" s="5">
        <f>'GASTOS CONSOLIDADO'!G105</f>
        <v>14143200</v>
      </c>
      <c r="I123" s="5">
        <f>'GASTOS CONSOLIDADO'!H105</f>
        <v>0</v>
      </c>
      <c r="J123" s="5">
        <f>H123+I123</f>
        <v>14143200</v>
      </c>
      <c r="K123" s="5">
        <v>9500</v>
      </c>
      <c r="L123" s="5">
        <v>158300</v>
      </c>
      <c r="M123" s="5">
        <v>0</v>
      </c>
      <c r="N123" s="5">
        <v>1400000</v>
      </c>
      <c r="O123" s="5">
        <f t="shared" si="23"/>
        <v>1567800</v>
      </c>
      <c r="P123" s="5">
        <v>836624</v>
      </c>
      <c r="Q123" s="5">
        <v>0</v>
      </c>
      <c r="R123" s="5">
        <f>+HOJA!D54</f>
        <v>2809100</v>
      </c>
      <c r="S123" s="5">
        <f>+HOJA!D146</f>
        <v>5113000</v>
      </c>
      <c r="T123" s="5">
        <f t="shared" si="24"/>
        <v>10326524</v>
      </c>
      <c r="U123" s="5">
        <f>J123-T123</f>
        <v>3816676</v>
      </c>
      <c r="V123" s="5">
        <f>+J123-U123</f>
        <v>10326524</v>
      </c>
      <c r="W123" s="5">
        <f>+T123-V123</f>
        <v>0</v>
      </c>
    </row>
    <row r="124" spans="1:23" s="83" customFormat="1" ht="15">
      <c r="A124" s="285"/>
      <c r="B124" s="104"/>
      <c r="C124" s="104"/>
      <c r="D124" s="101"/>
      <c r="E124" s="17"/>
      <c r="F124" s="17"/>
      <c r="G124" s="104"/>
      <c r="H124" s="21"/>
      <c r="I124" s="21"/>
      <c r="J124" s="21"/>
      <c r="K124" s="21"/>
      <c r="L124" s="21"/>
      <c r="M124" s="21"/>
      <c r="N124" s="21"/>
      <c r="O124" s="21">
        <f t="shared" si="23"/>
        <v>0</v>
      </c>
      <c r="P124" s="21"/>
      <c r="Q124" s="21"/>
      <c r="R124" s="21"/>
      <c r="S124" s="21"/>
      <c r="T124" s="21">
        <f t="shared" si="24"/>
        <v>0</v>
      </c>
      <c r="U124" s="21"/>
      <c r="V124" s="21"/>
      <c r="W124" s="21"/>
    </row>
    <row r="125" spans="1:23" s="98" customFormat="1" ht="15">
      <c r="A125" s="285"/>
      <c r="B125" s="102"/>
      <c r="C125" s="102">
        <f>'GASTOS CONSOLIDADO'!B107</f>
        <v>340</v>
      </c>
      <c r="D125" s="43"/>
      <c r="E125" s="1"/>
      <c r="F125" s="1"/>
      <c r="G125" s="102" t="str">
        <f>'GASTOS CONSOLIDADO'!F107</f>
        <v>Bienes de Consumo de Oficina e Insumos</v>
      </c>
      <c r="H125" s="3">
        <f aca="true" t="shared" si="35" ref="H125:W125">SUM(H126:H130)</f>
        <v>54702854</v>
      </c>
      <c r="I125" s="3">
        <f t="shared" si="35"/>
        <v>0</v>
      </c>
      <c r="J125" s="3">
        <f t="shared" si="35"/>
        <v>54702854</v>
      </c>
      <c r="K125" s="3">
        <f t="shared" si="35"/>
        <v>3098828</v>
      </c>
      <c r="L125" s="3">
        <f t="shared" si="35"/>
        <v>2016000</v>
      </c>
      <c r="M125" s="3">
        <f t="shared" si="35"/>
        <v>0</v>
      </c>
      <c r="N125" s="3">
        <f t="shared" si="35"/>
        <v>2872062</v>
      </c>
      <c r="O125" s="3">
        <f t="shared" si="23"/>
        <v>7986890</v>
      </c>
      <c r="P125" s="3">
        <f t="shared" si="35"/>
        <v>14058722</v>
      </c>
      <c r="Q125" s="3">
        <f t="shared" si="35"/>
        <v>7227990</v>
      </c>
      <c r="R125" s="3">
        <f t="shared" si="35"/>
        <v>14653550</v>
      </c>
      <c r="S125" s="3">
        <f t="shared" si="35"/>
        <v>6073002</v>
      </c>
      <c r="T125" s="3">
        <f t="shared" si="24"/>
        <v>50000154</v>
      </c>
      <c r="U125" s="3">
        <f t="shared" si="35"/>
        <v>4702700</v>
      </c>
      <c r="V125" s="3">
        <f t="shared" si="35"/>
        <v>50000154</v>
      </c>
      <c r="W125" s="3">
        <f t="shared" si="35"/>
        <v>0</v>
      </c>
    </row>
    <row r="126" spans="1:23" s="98" customFormat="1" ht="15" hidden="1">
      <c r="A126" s="285"/>
      <c r="B126" s="103"/>
      <c r="C126" s="103"/>
      <c r="D126" s="100"/>
      <c r="E126" s="2"/>
      <c r="F126" s="2"/>
      <c r="G126" s="103"/>
      <c r="H126" s="5"/>
      <c r="I126" s="5"/>
      <c r="J126" s="5"/>
      <c r="K126" s="5"/>
      <c r="L126" s="5"/>
      <c r="M126" s="5"/>
      <c r="N126" s="5"/>
      <c r="O126" s="5">
        <f t="shared" si="23"/>
        <v>0</v>
      </c>
      <c r="P126" s="5"/>
      <c r="Q126" s="5"/>
      <c r="R126" s="5"/>
      <c r="S126" s="5"/>
      <c r="T126" s="5">
        <f t="shared" si="24"/>
        <v>0</v>
      </c>
      <c r="U126" s="5"/>
      <c r="V126" s="5"/>
      <c r="W126" s="5"/>
    </row>
    <row r="127" spans="1:23" s="98" customFormat="1" ht="15" hidden="1">
      <c r="A127" s="285"/>
      <c r="B127" s="103"/>
      <c r="C127" s="103"/>
      <c r="D127" s="100">
        <f>'GASTOS CONSOLIDADO'!C109</f>
        <v>340</v>
      </c>
      <c r="E127" s="2" t="str">
        <f>'GASTOS CONSOLIDADO'!D109</f>
        <v>30</v>
      </c>
      <c r="F127" s="2" t="str">
        <f>'GASTOS CONSOLIDADO'!E109</f>
        <v>008</v>
      </c>
      <c r="G127" s="103" t="str">
        <f>'GASTOS CONSOLIDADO'!F109</f>
        <v>Bienes de Consumo de Oficina e Insumos</v>
      </c>
      <c r="H127" s="5">
        <f>'GASTOS CONSOLIDADO'!G109</f>
        <v>0</v>
      </c>
      <c r="I127" s="5">
        <f>'GASTOS CONSOLIDADO'!H109</f>
        <v>0</v>
      </c>
      <c r="J127" s="5">
        <f>H127+I127</f>
        <v>0</v>
      </c>
      <c r="K127" s="5">
        <f aca="true" t="shared" si="36" ref="K127:W127">I127+J127</f>
        <v>0</v>
      </c>
      <c r="L127" s="5">
        <f t="shared" si="36"/>
        <v>0</v>
      </c>
      <c r="M127" s="5">
        <f t="shared" si="36"/>
        <v>0</v>
      </c>
      <c r="N127" s="5">
        <f t="shared" si="36"/>
        <v>0</v>
      </c>
      <c r="O127" s="5">
        <f t="shared" si="23"/>
        <v>0</v>
      </c>
      <c r="P127" s="5">
        <f>M127+N127</f>
        <v>0</v>
      </c>
      <c r="Q127" s="5">
        <f>N127+P127</f>
        <v>0</v>
      </c>
      <c r="R127" s="5"/>
      <c r="S127" s="5"/>
      <c r="T127" s="5">
        <f t="shared" si="24"/>
        <v>0</v>
      </c>
      <c r="U127" s="5">
        <f>Q127+T127</f>
        <v>0</v>
      </c>
      <c r="V127" s="5">
        <f t="shared" si="36"/>
        <v>0</v>
      </c>
      <c r="W127" s="5">
        <f t="shared" si="36"/>
        <v>0</v>
      </c>
    </row>
    <row r="128" spans="1:23" s="98" customFormat="1" ht="15" hidden="1">
      <c r="A128" s="285"/>
      <c r="B128" s="103"/>
      <c r="C128" s="103"/>
      <c r="D128" s="100">
        <f>'GASTOS CONSOLIDADO'!C110</f>
        <v>340</v>
      </c>
      <c r="E128" s="2" t="str">
        <f>'GASTOS CONSOLIDADO'!D110</f>
        <v>30</v>
      </c>
      <c r="F128" s="2" t="str">
        <f>'GASTOS CONSOLIDADO'!E110</f>
        <v>007</v>
      </c>
      <c r="G128" s="103" t="str">
        <f>'GASTOS CONSOLIDADO'!F110</f>
        <v>Bienes de Consumo de Oficina e Insumos</v>
      </c>
      <c r="H128" s="5">
        <f>'GASTOS CONSOLIDADO'!G110</f>
        <v>0</v>
      </c>
      <c r="I128" s="5">
        <f>'GASTOS CONSOLIDADO'!H110</f>
        <v>0</v>
      </c>
      <c r="J128" s="5">
        <f>H128+I128</f>
        <v>0</v>
      </c>
      <c r="K128" s="5">
        <f aca="true" t="shared" si="37" ref="K128:W128">I128+J128</f>
        <v>0</v>
      </c>
      <c r="L128" s="5">
        <f t="shared" si="37"/>
        <v>0</v>
      </c>
      <c r="M128" s="5">
        <f t="shared" si="37"/>
        <v>0</v>
      </c>
      <c r="N128" s="5">
        <f t="shared" si="37"/>
        <v>0</v>
      </c>
      <c r="O128" s="5">
        <f t="shared" si="23"/>
        <v>0</v>
      </c>
      <c r="P128" s="5">
        <f>M128+N128</f>
        <v>0</v>
      </c>
      <c r="Q128" s="5">
        <f>N128+P128</f>
        <v>0</v>
      </c>
      <c r="R128" s="5"/>
      <c r="S128" s="5"/>
      <c r="T128" s="5">
        <f t="shared" si="24"/>
        <v>0</v>
      </c>
      <c r="U128" s="5">
        <f>Q128+T128</f>
        <v>0</v>
      </c>
      <c r="V128" s="5">
        <f t="shared" si="37"/>
        <v>0</v>
      </c>
      <c r="W128" s="5">
        <f t="shared" si="37"/>
        <v>0</v>
      </c>
    </row>
    <row r="129" spans="1:23" s="98" customFormat="1" ht="15">
      <c r="A129" s="285"/>
      <c r="B129" s="103"/>
      <c r="C129" s="103"/>
      <c r="D129" s="100">
        <f>'GASTOS CONSOLIDADO'!C111</f>
        <v>340</v>
      </c>
      <c r="E129" s="2" t="str">
        <f>'GASTOS CONSOLIDADO'!D111</f>
        <v>30</v>
      </c>
      <c r="F129" s="2" t="str">
        <f>'GASTOS CONSOLIDADO'!E111</f>
        <v>001</v>
      </c>
      <c r="G129" s="103" t="str">
        <f>'GASTOS CONSOLIDADO'!F111</f>
        <v>Bienes de Consumo de Oficina e Insumos</v>
      </c>
      <c r="H129" s="5">
        <f>'GASTOS CONSOLIDADO'!G111</f>
        <v>54702854</v>
      </c>
      <c r="I129" s="5">
        <f>'GASTOS CONSOLIDADO'!H111</f>
        <v>0</v>
      </c>
      <c r="J129" s="5">
        <f>H129+I129</f>
        <v>54702854</v>
      </c>
      <c r="K129" s="5">
        <v>3098828</v>
      </c>
      <c r="L129" s="5">
        <v>2016000</v>
      </c>
      <c r="M129" s="5">
        <v>0</v>
      </c>
      <c r="N129" s="5">
        <v>2872062</v>
      </c>
      <c r="O129" s="5">
        <f t="shared" si="23"/>
        <v>7986890</v>
      </c>
      <c r="P129" s="5">
        <v>14058722</v>
      </c>
      <c r="Q129" s="5">
        <v>7227990</v>
      </c>
      <c r="R129" s="5">
        <f>+HOJA!D72</f>
        <v>14653550</v>
      </c>
      <c r="S129" s="5">
        <f>+HOJA!D160</f>
        <v>6073002</v>
      </c>
      <c r="T129" s="5">
        <f t="shared" si="24"/>
        <v>50000154</v>
      </c>
      <c r="U129" s="5">
        <f>J129-T129</f>
        <v>4702700</v>
      </c>
      <c r="V129" s="5">
        <f>+J129-U129</f>
        <v>50000154</v>
      </c>
      <c r="W129" s="5">
        <f>+T129-V129</f>
        <v>0</v>
      </c>
    </row>
    <row r="130" spans="1:23" s="83" customFormat="1" ht="15">
      <c r="A130" s="285"/>
      <c r="B130" s="104"/>
      <c r="C130" s="104"/>
      <c r="D130" s="101"/>
      <c r="E130" s="17"/>
      <c r="F130" s="17"/>
      <c r="G130" s="104"/>
      <c r="H130" s="21"/>
      <c r="I130" s="21"/>
      <c r="J130" s="21"/>
      <c r="K130" s="21"/>
      <c r="L130" s="21"/>
      <c r="M130" s="21"/>
      <c r="N130" s="21"/>
      <c r="O130" s="21">
        <f t="shared" si="23"/>
        <v>0</v>
      </c>
      <c r="P130" s="21"/>
      <c r="Q130" s="21"/>
      <c r="R130" s="21"/>
      <c r="S130" s="21"/>
      <c r="T130" s="21">
        <f t="shared" si="24"/>
        <v>0</v>
      </c>
      <c r="U130" s="21"/>
      <c r="V130" s="21"/>
      <c r="W130" s="21"/>
    </row>
    <row r="131" spans="1:23" s="98" customFormat="1" ht="16.5" customHeight="1">
      <c r="A131" s="285"/>
      <c r="B131" s="102"/>
      <c r="C131" s="102">
        <f>'GASTOS CONSOLIDADO'!B113</f>
        <v>350</v>
      </c>
      <c r="D131" s="43"/>
      <c r="E131" s="1"/>
      <c r="F131" s="1"/>
      <c r="G131" s="102" t="str">
        <f>'GASTOS CONSOLIDADO'!F113</f>
        <v>Productos e Instrumentales Químic. y Medicinales</v>
      </c>
      <c r="H131" s="3">
        <f aca="true" t="shared" si="38" ref="H131:W131">SUM(H132:H134)</f>
        <v>16500000</v>
      </c>
      <c r="I131" s="3">
        <f t="shared" si="38"/>
        <v>-10000000</v>
      </c>
      <c r="J131" s="3">
        <f t="shared" si="38"/>
        <v>6500000</v>
      </c>
      <c r="K131" s="3">
        <f t="shared" si="38"/>
        <v>0</v>
      </c>
      <c r="L131" s="3">
        <f t="shared" si="38"/>
        <v>1092000</v>
      </c>
      <c r="M131" s="3">
        <f t="shared" si="38"/>
        <v>0</v>
      </c>
      <c r="N131" s="3">
        <f t="shared" si="38"/>
        <v>0</v>
      </c>
      <c r="O131" s="3">
        <f t="shared" si="23"/>
        <v>1092000</v>
      </c>
      <c r="P131" s="3">
        <f t="shared" si="38"/>
        <v>0</v>
      </c>
      <c r="Q131" s="3">
        <f t="shared" si="38"/>
        <v>0</v>
      </c>
      <c r="R131" s="3">
        <f t="shared" si="38"/>
        <v>0</v>
      </c>
      <c r="S131" s="3">
        <f t="shared" si="38"/>
        <v>0</v>
      </c>
      <c r="T131" s="3">
        <f t="shared" si="24"/>
        <v>1092000</v>
      </c>
      <c r="U131" s="3">
        <f t="shared" si="38"/>
        <v>5408000</v>
      </c>
      <c r="V131" s="3">
        <f t="shared" si="38"/>
        <v>1092000</v>
      </c>
      <c r="W131" s="3">
        <f t="shared" si="38"/>
        <v>0</v>
      </c>
    </row>
    <row r="132" spans="1:23" s="98" customFormat="1" ht="15" hidden="1">
      <c r="A132" s="285"/>
      <c r="B132" s="103"/>
      <c r="C132" s="103"/>
      <c r="D132" s="100">
        <f>'GASTOS CONSOLIDADO'!C114</f>
        <v>350</v>
      </c>
      <c r="E132" s="2" t="str">
        <f>'GASTOS CONSOLIDADO'!D114</f>
        <v>30</v>
      </c>
      <c r="F132" s="2" t="str">
        <f>'GASTOS CONSOLIDADO'!E114</f>
        <v>007</v>
      </c>
      <c r="G132" s="103" t="str">
        <f>'GASTOS CONSOLIDADO'!F114</f>
        <v>Productos e Instrumentales Químicos</v>
      </c>
      <c r="H132" s="5">
        <f>'GASTOS CONSOLIDADO'!G114</f>
        <v>0</v>
      </c>
      <c r="I132" s="5">
        <f>'GASTOS CONSOLIDADO'!H114</f>
        <v>0</v>
      </c>
      <c r="J132" s="5">
        <f>H132+I132</f>
        <v>0</v>
      </c>
      <c r="K132" s="5">
        <v>0</v>
      </c>
      <c r="L132" s="5">
        <v>0</v>
      </c>
      <c r="M132" s="5">
        <v>0</v>
      </c>
      <c r="N132" s="5">
        <v>0</v>
      </c>
      <c r="O132" s="5">
        <f t="shared" si="23"/>
        <v>0</v>
      </c>
      <c r="P132" s="5">
        <v>0</v>
      </c>
      <c r="Q132" s="5">
        <v>0</v>
      </c>
      <c r="R132" s="5"/>
      <c r="S132" s="5"/>
      <c r="T132" s="5">
        <f t="shared" si="24"/>
        <v>0</v>
      </c>
      <c r="U132" s="5">
        <v>0</v>
      </c>
      <c r="V132" s="5">
        <v>0</v>
      </c>
      <c r="W132" s="5">
        <v>0</v>
      </c>
    </row>
    <row r="133" spans="1:23" s="98" customFormat="1" ht="15">
      <c r="A133" s="285"/>
      <c r="B133" s="103"/>
      <c r="C133" s="103"/>
      <c r="D133" s="100">
        <f>'GASTOS CONSOLIDADO'!C115</f>
        <v>350</v>
      </c>
      <c r="E133" s="2" t="str">
        <f>'GASTOS CONSOLIDADO'!D115</f>
        <v>30</v>
      </c>
      <c r="F133" s="2" t="str">
        <f>'GASTOS CONSOLIDADO'!E115</f>
        <v>001</v>
      </c>
      <c r="G133" s="103" t="str">
        <f>'GASTOS CONSOLIDADO'!F115</f>
        <v>Productos e Instrumentales Químicos </v>
      </c>
      <c r="H133" s="5">
        <f>'GASTOS CONSOLIDADO'!G115</f>
        <v>16500000</v>
      </c>
      <c r="I133" s="5">
        <f>'GASTOS CONSOLIDADO'!H115</f>
        <v>-10000000</v>
      </c>
      <c r="J133" s="5">
        <f>H133+I133</f>
        <v>6500000</v>
      </c>
      <c r="K133" s="5">
        <v>0</v>
      </c>
      <c r="L133" s="5">
        <v>1092000</v>
      </c>
      <c r="M133" s="5">
        <v>0</v>
      </c>
      <c r="N133" s="5">
        <v>0</v>
      </c>
      <c r="O133" s="5">
        <f t="shared" si="23"/>
        <v>1092000</v>
      </c>
      <c r="P133" s="5">
        <v>0</v>
      </c>
      <c r="Q133" s="325">
        <v>0</v>
      </c>
      <c r="R133" s="325"/>
      <c r="S133" s="325"/>
      <c r="T133" s="325">
        <f t="shared" si="24"/>
        <v>1092000</v>
      </c>
      <c r="U133" s="5">
        <f>J133-T133</f>
        <v>5408000</v>
      </c>
      <c r="V133" s="5">
        <f>+J133-U133</f>
        <v>1092000</v>
      </c>
      <c r="W133" s="5">
        <f>+T133-V133</f>
        <v>0</v>
      </c>
    </row>
    <row r="134" spans="1:23" s="83" customFormat="1" ht="15">
      <c r="A134" s="285"/>
      <c r="B134" s="104"/>
      <c r="C134" s="104"/>
      <c r="D134" s="101"/>
      <c r="E134" s="17"/>
      <c r="F134" s="17"/>
      <c r="G134" s="104"/>
      <c r="H134" s="21"/>
      <c r="I134" s="21"/>
      <c r="J134" s="21"/>
      <c r="K134" s="21"/>
      <c r="L134" s="21"/>
      <c r="M134" s="21"/>
      <c r="N134" s="21"/>
      <c r="O134" s="21">
        <f t="shared" si="23"/>
        <v>0</v>
      </c>
      <c r="P134" s="21"/>
      <c r="Q134" s="21"/>
      <c r="R134" s="21"/>
      <c r="S134" s="21"/>
      <c r="T134" s="21">
        <f t="shared" si="24"/>
        <v>0</v>
      </c>
      <c r="U134" s="21"/>
      <c r="V134" s="21"/>
      <c r="W134" s="21"/>
    </row>
    <row r="135" spans="1:23" s="98" customFormat="1" ht="15">
      <c r="A135" s="285"/>
      <c r="B135" s="102"/>
      <c r="C135" s="102">
        <f>'GASTOS CONSOLIDADO'!B117</f>
        <v>360</v>
      </c>
      <c r="D135" s="43"/>
      <c r="E135" s="1"/>
      <c r="F135" s="1"/>
      <c r="G135" s="102" t="str">
        <f>'GASTOS CONSOLIDADO'!F117</f>
        <v>Combustibles y Lubricantes</v>
      </c>
      <c r="H135" s="3">
        <f aca="true" t="shared" si="39" ref="H135:W135">SUM(H136:H140)</f>
        <v>38550000</v>
      </c>
      <c r="I135" s="3">
        <f t="shared" si="39"/>
        <v>0</v>
      </c>
      <c r="J135" s="3">
        <f t="shared" si="39"/>
        <v>38550000</v>
      </c>
      <c r="K135" s="3">
        <f t="shared" si="39"/>
        <v>0</v>
      </c>
      <c r="L135" s="3">
        <f t="shared" si="39"/>
        <v>0</v>
      </c>
      <c r="M135" s="3">
        <f t="shared" si="39"/>
        <v>0</v>
      </c>
      <c r="N135" s="3">
        <f t="shared" si="39"/>
        <v>0</v>
      </c>
      <c r="O135" s="3">
        <f t="shared" si="23"/>
        <v>0</v>
      </c>
      <c r="P135" s="3">
        <f t="shared" si="39"/>
        <v>0</v>
      </c>
      <c r="Q135" s="3">
        <f t="shared" si="39"/>
        <v>25000000</v>
      </c>
      <c r="R135" s="3">
        <f t="shared" si="39"/>
        <v>0</v>
      </c>
      <c r="S135" s="3">
        <f t="shared" si="39"/>
        <v>0</v>
      </c>
      <c r="T135" s="3">
        <f t="shared" si="24"/>
        <v>25000000</v>
      </c>
      <c r="U135" s="3">
        <f t="shared" si="39"/>
        <v>13550000</v>
      </c>
      <c r="V135" s="3">
        <f t="shared" si="39"/>
        <v>25000000</v>
      </c>
      <c r="W135" s="3">
        <f t="shared" si="39"/>
        <v>0</v>
      </c>
    </row>
    <row r="136" spans="1:23" s="98" customFormat="1" ht="15" hidden="1">
      <c r="A136" s="285"/>
      <c r="B136" s="103"/>
      <c r="C136" s="103"/>
      <c r="D136" s="100"/>
      <c r="E136" s="2"/>
      <c r="F136" s="2"/>
      <c r="G136" s="103"/>
      <c r="H136" s="5"/>
      <c r="I136" s="5"/>
      <c r="J136" s="5"/>
      <c r="K136" s="5"/>
      <c r="L136" s="5"/>
      <c r="M136" s="5"/>
      <c r="N136" s="5"/>
      <c r="O136" s="5">
        <f t="shared" si="23"/>
        <v>0</v>
      </c>
      <c r="P136" s="5"/>
      <c r="Q136" s="5"/>
      <c r="R136" s="5"/>
      <c r="S136" s="5"/>
      <c r="T136" s="5">
        <f t="shared" si="24"/>
        <v>0</v>
      </c>
      <c r="U136" s="5"/>
      <c r="V136" s="5"/>
      <c r="W136" s="5"/>
    </row>
    <row r="137" spans="1:23" s="98" customFormat="1" ht="15" hidden="1">
      <c r="A137" s="285"/>
      <c r="B137" s="103"/>
      <c r="C137" s="103"/>
      <c r="D137" s="100">
        <f>'GASTOS CONSOLIDADO'!C119</f>
        <v>360</v>
      </c>
      <c r="E137" s="2" t="str">
        <f>'GASTOS CONSOLIDADO'!D119</f>
        <v>30</v>
      </c>
      <c r="F137" s="2" t="str">
        <f>'GASTOS CONSOLIDADO'!E119</f>
        <v>008</v>
      </c>
      <c r="G137" s="103" t="str">
        <f>'GASTOS CONSOLIDADO'!F119</f>
        <v>Combustibles y Lubricantes</v>
      </c>
      <c r="H137" s="5">
        <f>'GASTOS CONSOLIDADO'!G119</f>
        <v>0</v>
      </c>
      <c r="I137" s="5">
        <f>'GASTOS CONSOLIDADO'!H119</f>
        <v>0</v>
      </c>
      <c r="J137" s="5">
        <f>H137+I137</f>
        <v>0</v>
      </c>
      <c r="K137" s="5">
        <v>0</v>
      </c>
      <c r="L137" s="5">
        <v>0</v>
      </c>
      <c r="M137" s="5">
        <v>0</v>
      </c>
      <c r="N137" s="5">
        <v>0</v>
      </c>
      <c r="O137" s="5">
        <f t="shared" si="23"/>
        <v>0</v>
      </c>
      <c r="P137" s="5">
        <v>0</v>
      </c>
      <c r="Q137" s="5">
        <v>0</v>
      </c>
      <c r="R137" s="5"/>
      <c r="S137" s="5"/>
      <c r="T137" s="5">
        <f t="shared" si="24"/>
        <v>0</v>
      </c>
      <c r="U137" s="5">
        <v>0</v>
      </c>
      <c r="V137" s="5">
        <v>0</v>
      </c>
      <c r="W137" s="5">
        <v>0</v>
      </c>
    </row>
    <row r="138" spans="1:23" s="98" customFormat="1" ht="15" hidden="1">
      <c r="A138" s="285"/>
      <c r="B138" s="103"/>
      <c r="C138" s="103"/>
      <c r="D138" s="100">
        <f>'GASTOS CONSOLIDADO'!C120</f>
        <v>360</v>
      </c>
      <c r="E138" s="2" t="str">
        <f>'GASTOS CONSOLIDADO'!D120</f>
        <v>30</v>
      </c>
      <c r="F138" s="2" t="str">
        <f>'GASTOS CONSOLIDADO'!E120</f>
        <v>007</v>
      </c>
      <c r="G138" s="103" t="str">
        <f>'GASTOS CONSOLIDADO'!F120</f>
        <v>Combustibles y Lubricantes</v>
      </c>
      <c r="H138" s="5">
        <f>'GASTOS CONSOLIDADO'!G120</f>
        <v>0</v>
      </c>
      <c r="I138" s="5">
        <f>'GASTOS CONSOLIDADO'!H120</f>
        <v>0</v>
      </c>
      <c r="J138" s="5">
        <f>H138+I138</f>
        <v>0</v>
      </c>
      <c r="K138" s="5">
        <v>0</v>
      </c>
      <c r="L138" s="5">
        <v>0</v>
      </c>
      <c r="M138" s="5">
        <v>0</v>
      </c>
      <c r="N138" s="5">
        <v>0</v>
      </c>
      <c r="O138" s="5">
        <f t="shared" si="23"/>
        <v>0</v>
      </c>
      <c r="P138" s="5">
        <v>0</v>
      </c>
      <c r="Q138" s="5">
        <v>0</v>
      </c>
      <c r="R138" s="5"/>
      <c r="S138" s="5"/>
      <c r="T138" s="5">
        <f t="shared" si="24"/>
        <v>0</v>
      </c>
      <c r="U138" s="5">
        <v>0</v>
      </c>
      <c r="V138" s="5">
        <v>0</v>
      </c>
      <c r="W138" s="5">
        <v>0</v>
      </c>
    </row>
    <row r="139" spans="1:23" s="98" customFormat="1" ht="15">
      <c r="A139" s="285"/>
      <c r="B139" s="103"/>
      <c r="C139" s="103"/>
      <c r="D139" s="100">
        <f>'GASTOS CONSOLIDADO'!C121</f>
        <v>360</v>
      </c>
      <c r="E139" s="2" t="str">
        <f>'GASTOS CONSOLIDADO'!D121</f>
        <v>30</v>
      </c>
      <c r="F139" s="2" t="str">
        <f>'GASTOS CONSOLIDADO'!E121</f>
        <v>001</v>
      </c>
      <c r="G139" s="103" t="str">
        <f>'GASTOS CONSOLIDADO'!F121</f>
        <v>Combustibles y Lubricantes</v>
      </c>
      <c r="H139" s="5">
        <f>'GASTOS CONSOLIDADO'!G121</f>
        <v>38550000</v>
      </c>
      <c r="I139" s="5">
        <f>'GASTOS CONSOLIDADO'!H121</f>
        <v>0</v>
      </c>
      <c r="J139" s="5">
        <f>H139+I139</f>
        <v>38550000</v>
      </c>
      <c r="K139" s="5">
        <v>0</v>
      </c>
      <c r="L139" s="5">
        <v>0</v>
      </c>
      <c r="M139" s="5">
        <v>0</v>
      </c>
      <c r="N139" s="5">
        <v>0</v>
      </c>
      <c r="O139" s="5">
        <f t="shared" si="23"/>
        <v>0</v>
      </c>
      <c r="P139" s="5">
        <v>0</v>
      </c>
      <c r="Q139" s="5">
        <v>25000000</v>
      </c>
      <c r="R139" s="5"/>
      <c r="S139" s="5"/>
      <c r="T139" s="5">
        <f t="shared" si="24"/>
        <v>25000000</v>
      </c>
      <c r="U139" s="5">
        <f>J139-T139</f>
        <v>13550000</v>
      </c>
      <c r="V139" s="5">
        <f>+J139-U139</f>
        <v>25000000</v>
      </c>
      <c r="W139" s="5">
        <f>+T139-V139</f>
        <v>0</v>
      </c>
    </row>
    <row r="140" spans="1:23" s="83" customFormat="1" ht="15">
      <c r="A140" s="285"/>
      <c r="B140" s="104"/>
      <c r="C140" s="104"/>
      <c r="D140" s="101"/>
      <c r="E140" s="17"/>
      <c r="F140" s="17"/>
      <c r="G140" s="104"/>
      <c r="H140" s="21"/>
      <c r="I140" s="21"/>
      <c r="J140" s="21"/>
      <c r="K140" s="21"/>
      <c r="L140" s="21"/>
      <c r="M140" s="21"/>
      <c r="N140" s="21"/>
      <c r="O140" s="21">
        <f t="shared" si="23"/>
        <v>0</v>
      </c>
      <c r="P140" s="21"/>
      <c r="Q140" s="21"/>
      <c r="R140" s="21"/>
      <c r="S140" s="21"/>
      <c r="T140" s="21">
        <f t="shared" si="24"/>
        <v>0</v>
      </c>
      <c r="U140" s="21"/>
      <c r="V140" s="21"/>
      <c r="W140" s="21"/>
    </row>
    <row r="141" spans="1:23" s="98" customFormat="1" ht="15">
      <c r="A141" s="285"/>
      <c r="B141" s="102"/>
      <c r="C141" s="102">
        <f>'GASTOS CONSOLIDADO'!B123</f>
        <v>390</v>
      </c>
      <c r="D141" s="43"/>
      <c r="E141" s="1"/>
      <c r="F141" s="1"/>
      <c r="G141" s="102" t="str">
        <f>'GASTOS CONSOLIDADO'!F123</f>
        <v>Otros Bienes de Consumo</v>
      </c>
      <c r="H141" s="3">
        <f aca="true" t="shared" si="40" ref="H141:W141">SUM(H142:H145)</f>
        <v>16912500</v>
      </c>
      <c r="I141" s="3">
        <f t="shared" si="40"/>
        <v>0</v>
      </c>
      <c r="J141" s="3">
        <f t="shared" si="40"/>
        <v>16912500</v>
      </c>
      <c r="K141" s="3">
        <f t="shared" si="40"/>
        <v>226000</v>
      </c>
      <c r="L141" s="3">
        <f t="shared" si="40"/>
        <v>158000</v>
      </c>
      <c r="M141" s="3">
        <f t="shared" si="40"/>
        <v>0</v>
      </c>
      <c r="N141" s="3">
        <f t="shared" si="40"/>
        <v>1394948</v>
      </c>
      <c r="O141" s="3">
        <f t="shared" si="23"/>
        <v>1778948</v>
      </c>
      <c r="P141" s="3">
        <f t="shared" si="40"/>
        <v>3934200</v>
      </c>
      <c r="Q141" s="3">
        <f t="shared" si="40"/>
        <v>3900000</v>
      </c>
      <c r="R141" s="3">
        <f t="shared" si="40"/>
        <v>1513000</v>
      </c>
      <c r="S141" s="3">
        <f t="shared" si="40"/>
        <v>5173000</v>
      </c>
      <c r="T141" s="3">
        <f t="shared" si="24"/>
        <v>16299148</v>
      </c>
      <c r="U141" s="3">
        <f t="shared" si="40"/>
        <v>613352</v>
      </c>
      <c r="V141" s="3">
        <f t="shared" si="40"/>
        <v>16299148</v>
      </c>
      <c r="W141" s="3">
        <f t="shared" si="40"/>
        <v>0</v>
      </c>
    </row>
    <row r="142" spans="1:23" s="98" customFormat="1" ht="15">
      <c r="A142" s="285"/>
      <c r="B142" s="103"/>
      <c r="C142" s="103"/>
      <c r="D142" s="100">
        <f>'GASTOS CONSOLIDADO'!C125</f>
        <v>390</v>
      </c>
      <c r="E142" s="2" t="str">
        <f>'GASTOS CONSOLIDADO'!D125</f>
        <v>30</v>
      </c>
      <c r="F142" s="2" t="str">
        <f>'GASTOS CONSOLIDADO'!E125</f>
        <v>008</v>
      </c>
      <c r="G142" s="103" t="str">
        <f>'GASTOS CONSOLIDADO'!F125</f>
        <v>Otros Bienes de Consumo</v>
      </c>
      <c r="H142" s="5">
        <f>'GASTOS CONSOLIDADO'!G125</f>
        <v>0</v>
      </c>
      <c r="I142" s="5">
        <f>'GASTOS CONSOLIDADO'!H125</f>
        <v>0</v>
      </c>
      <c r="J142" s="5">
        <f>H142+I142</f>
        <v>0</v>
      </c>
      <c r="K142" s="5">
        <v>0</v>
      </c>
      <c r="L142" s="5">
        <v>0</v>
      </c>
      <c r="M142" s="5">
        <v>0</v>
      </c>
      <c r="N142" s="5">
        <v>0</v>
      </c>
      <c r="O142" s="5">
        <f t="shared" si="23"/>
        <v>0</v>
      </c>
      <c r="P142" s="5">
        <v>0</v>
      </c>
      <c r="Q142" s="5">
        <v>0</v>
      </c>
      <c r="R142" s="5"/>
      <c r="S142" s="5"/>
      <c r="T142" s="5">
        <f t="shared" si="24"/>
        <v>0</v>
      </c>
      <c r="U142" s="5">
        <v>0</v>
      </c>
      <c r="V142" s="5">
        <v>0</v>
      </c>
      <c r="W142" s="5">
        <v>0</v>
      </c>
    </row>
    <row r="143" spans="1:23" s="98" customFormat="1" ht="15">
      <c r="A143" s="285"/>
      <c r="B143" s="103"/>
      <c r="C143" s="103"/>
      <c r="D143" s="100">
        <f>'GASTOS CONSOLIDADO'!C126</f>
        <v>390</v>
      </c>
      <c r="E143" s="2" t="str">
        <f>'GASTOS CONSOLIDADO'!D126</f>
        <v>30</v>
      </c>
      <c r="F143" s="2" t="str">
        <f>'GASTOS CONSOLIDADO'!E126</f>
        <v>007</v>
      </c>
      <c r="G143" s="103" t="str">
        <f>'GASTOS CONSOLIDADO'!F126</f>
        <v>Otros Bienes de Consumo</v>
      </c>
      <c r="H143" s="5">
        <f>'GASTOS CONSOLIDADO'!G126</f>
        <v>0</v>
      </c>
      <c r="I143" s="5">
        <f>'GASTOS CONSOLIDADO'!H126</f>
        <v>0</v>
      </c>
      <c r="J143" s="5">
        <f>H143+I143</f>
        <v>0</v>
      </c>
      <c r="K143" s="5">
        <v>0</v>
      </c>
      <c r="L143" s="5">
        <v>0</v>
      </c>
      <c r="M143" s="5">
        <v>0</v>
      </c>
      <c r="N143" s="5">
        <v>0</v>
      </c>
      <c r="O143" s="5">
        <f t="shared" si="23"/>
        <v>0</v>
      </c>
      <c r="P143" s="5">
        <v>0</v>
      </c>
      <c r="Q143" s="5">
        <v>0</v>
      </c>
      <c r="R143" s="5"/>
      <c r="S143" s="5"/>
      <c r="T143" s="5">
        <f t="shared" si="24"/>
        <v>0</v>
      </c>
      <c r="U143" s="5">
        <v>0</v>
      </c>
      <c r="V143" s="5">
        <v>0</v>
      </c>
      <c r="W143" s="5">
        <v>0</v>
      </c>
    </row>
    <row r="144" spans="1:23" s="98" customFormat="1" ht="15">
      <c r="A144" s="285"/>
      <c r="B144" s="103"/>
      <c r="C144" s="103"/>
      <c r="D144" s="100">
        <f>'GASTOS CONSOLIDADO'!C127</f>
        <v>390</v>
      </c>
      <c r="E144" s="2" t="str">
        <f>'GASTOS CONSOLIDADO'!D127</f>
        <v>30</v>
      </c>
      <c r="F144" s="2" t="str">
        <f>'GASTOS CONSOLIDADO'!E127</f>
        <v>001</v>
      </c>
      <c r="G144" s="103" t="str">
        <f>'GASTOS CONSOLIDADO'!F127</f>
        <v>Otros Bienes de Consumo</v>
      </c>
      <c r="H144" s="5">
        <f>'GASTOS CONSOLIDADO'!G127</f>
        <v>16912500</v>
      </c>
      <c r="I144" s="5">
        <f>'GASTOS CONSOLIDADO'!H127</f>
        <v>0</v>
      </c>
      <c r="J144" s="5">
        <f>H144+I144</f>
        <v>16912500</v>
      </c>
      <c r="K144" s="5">
        <v>226000</v>
      </c>
      <c r="L144" s="5">
        <v>158000</v>
      </c>
      <c r="M144" s="5">
        <v>0</v>
      </c>
      <c r="N144" s="5">
        <v>1394948</v>
      </c>
      <c r="O144" s="5">
        <f t="shared" si="23"/>
        <v>1778948</v>
      </c>
      <c r="P144" s="5">
        <v>3934200</v>
      </c>
      <c r="Q144" s="5">
        <v>3900000</v>
      </c>
      <c r="R144" s="5">
        <f>+HOJA!D76</f>
        <v>1513000</v>
      </c>
      <c r="S144" s="5">
        <f>+HOJA!D166</f>
        <v>5173000</v>
      </c>
      <c r="T144" s="5">
        <f t="shared" si="24"/>
        <v>16299148</v>
      </c>
      <c r="U144" s="5">
        <f>J144-T144</f>
        <v>613352</v>
      </c>
      <c r="V144" s="5">
        <f>+J144-U144</f>
        <v>16299148</v>
      </c>
      <c r="W144" s="5">
        <f>+T144-V144</f>
        <v>0</v>
      </c>
    </row>
    <row r="145" spans="1:23" s="83" customFormat="1" ht="15">
      <c r="A145" s="285"/>
      <c r="B145" s="104"/>
      <c r="C145" s="104"/>
      <c r="D145" s="101"/>
      <c r="E145" s="17"/>
      <c r="F145" s="17"/>
      <c r="G145" s="104"/>
      <c r="H145" s="21"/>
      <c r="I145" s="21"/>
      <c r="J145" s="21"/>
      <c r="K145" s="21"/>
      <c r="L145" s="21"/>
      <c r="M145" s="21"/>
      <c r="N145" s="21"/>
      <c r="O145" s="21">
        <f t="shared" si="23"/>
        <v>0</v>
      </c>
      <c r="P145" s="21"/>
      <c r="Q145" s="21"/>
      <c r="R145" s="21"/>
      <c r="S145" s="21"/>
      <c r="T145" s="21">
        <f t="shared" si="24"/>
        <v>0</v>
      </c>
      <c r="U145" s="21"/>
      <c r="V145" s="21"/>
      <c r="W145" s="21"/>
    </row>
    <row r="146" spans="1:23" s="83" customFormat="1" ht="15" hidden="1">
      <c r="A146" s="285"/>
      <c r="B146" s="43">
        <f>'GASTOS CONSOLIDADO'!A129</f>
        <v>700</v>
      </c>
      <c r="C146" s="43"/>
      <c r="D146" s="43"/>
      <c r="E146" s="1"/>
      <c r="F146" s="1"/>
      <c r="G146" s="102" t="str">
        <f>'GASTOS CONSOLIDADO'!F129</f>
        <v>SERVICIO DE LA DEUDA PÚBLICA</v>
      </c>
      <c r="H146" s="3">
        <f>'GASTOS CONSOLIDADO'!G129</f>
        <v>0</v>
      </c>
      <c r="I146" s="3">
        <f>'GASTOS CONSOLIDADO'!H129</f>
        <v>0</v>
      </c>
      <c r="J146" s="3">
        <f aca="true" t="shared" si="41" ref="J146:N147">J147</f>
        <v>0</v>
      </c>
      <c r="K146" s="3">
        <f t="shared" si="41"/>
        <v>0</v>
      </c>
      <c r="L146" s="3">
        <f t="shared" si="41"/>
        <v>0</v>
      </c>
      <c r="M146" s="3">
        <f t="shared" si="41"/>
        <v>0</v>
      </c>
      <c r="N146" s="3">
        <f t="shared" si="41"/>
        <v>0</v>
      </c>
      <c r="O146" s="3">
        <f t="shared" si="23"/>
        <v>0</v>
      </c>
      <c r="P146" s="3">
        <f>P147</f>
        <v>0</v>
      </c>
      <c r="Q146" s="3">
        <f>Q147</f>
        <v>0</v>
      </c>
      <c r="R146" s="3"/>
      <c r="S146" s="3"/>
      <c r="T146" s="3">
        <f t="shared" si="24"/>
        <v>0</v>
      </c>
      <c r="U146" s="3">
        <f aca="true" t="shared" si="42" ref="U146:W147">U147</f>
        <v>0</v>
      </c>
      <c r="V146" s="3">
        <f t="shared" si="42"/>
        <v>0</v>
      </c>
      <c r="W146" s="3">
        <f t="shared" si="42"/>
        <v>0</v>
      </c>
    </row>
    <row r="147" spans="1:23" s="83" customFormat="1" ht="15" hidden="1">
      <c r="A147" s="285"/>
      <c r="B147" s="102"/>
      <c r="C147" s="102">
        <f>'GASTOS CONSOLIDADO'!B130</f>
        <v>710</v>
      </c>
      <c r="D147" s="43"/>
      <c r="E147" s="1"/>
      <c r="F147" s="1"/>
      <c r="G147" s="102" t="str">
        <f>'GASTOS CONSOLIDADO'!F130</f>
        <v>Interes De la Deuda Pública Interna</v>
      </c>
      <c r="H147" s="3">
        <f>'GASTOS CONSOLIDADO'!G130</f>
        <v>0</v>
      </c>
      <c r="I147" s="3">
        <f>'GASTOS CONSOLIDADO'!H130</f>
        <v>0</v>
      </c>
      <c r="J147" s="3">
        <f t="shared" si="41"/>
        <v>0</v>
      </c>
      <c r="K147" s="3">
        <f t="shared" si="41"/>
        <v>0</v>
      </c>
      <c r="L147" s="3">
        <f t="shared" si="41"/>
        <v>0</v>
      </c>
      <c r="M147" s="3">
        <f t="shared" si="41"/>
        <v>0</v>
      </c>
      <c r="N147" s="3">
        <f t="shared" si="41"/>
        <v>0</v>
      </c>
      <c r="O147" s="3">
        <f t="shared" si="23"/>
        <v>0</v>
      </c>
      <c r="P147" s="3">
        <f>P148</f>
        <v>0</v>
      </c>
      <c r="Q147" s="3">
        <f>Q148</f>
        <v>0</v>
      </c>
      <c r="R147" s="3"/>
      <c r="S147" s="3"/>
      <c r="T147" s="3">
        <f t="shared" si="24"/>
        <v>0</v>
      </c>
      <c r="U147" s="3">
        <f t="shared" si="42"/>
        <v>0</v>
      </c>
      <c r="V147" s="3">
        <f t="shared" si="42"/>
        <v>0</v>
      </c>
      <c r="W147" s="3">
        <f t="shared" si="42"/>
        <v>0</v>
      </c>
    </row>
    <row r="148" spans="1:23" s="83" customFormat="1" ht="15" hidden="1">
      <c r="A148" s="285"/>
      <c r="B148" s="102"/>
      <c r="C148" s="102"/>
      <c r="D148" s="43">
        <f>'GASTOS CONSOLIDADO'!C131</f>
        <v>713</v>
      </c>
      <c r="E148" s="1"/>
      <c r="F148" s="1"/>
      <c r="G148" s="29" t="str">
        <f>'GASTOS CONSOLIDADO'!F131</f>
        <v>Interes de la Deuda con el Sector Privado</v>
      </c>
      <c r="H148" s="107">
        <f>'GASTOS CONSOLIDADO'!G131</f>
        <v>0</v>
      </c>
      <c r="I148" s="107">
        <f>'GASTOS CONSOLIDADO'!H131</f>
        <v>0</v>
      </c>
      <c r="J148" s="107">
        <f aca="true" t="shared" si="43" ref="J148:W148">SUM(J149:J150)</f>
        <v>0</v>
      </c>
      <c r="K148" s="107">
        <f t="shared" si="43"/>
        <v>0</v>
      </c>
      <c r="L148" s="107">
        <f t="shared" si="43"/>
        <v>0</v>
      </c>
      <c r="M148" s="107">
        <f t="shared" si="43"/>
        <v>0</v>
      </c>
      <c r="N148" s="107">
        <f t="shared" si="43"/>
        <v>0</v>
      </c>
      <c r="O148" s="107">
        <f aca="true" t="shared" si="44" ref="O148:O211">SUM(K148:N148)</f>
        <v>0</v>
      </c>
      <c r="P148" s="107">
        <f t="shared" si="43"/>
        <v>0</v>
      </c>
      <c r="Q148" s="107">
        <f t="shared" si="43"/>
        <v>0</v>
      </c>
      <c r="R148" s="107"/>
      <c r="S148" s="107"/>
      <c r="T148" s="107">
        <f aca="true" t="shared" si="45" ref="T148:T211">SUM(O148:S148)</f>
        <v>0</v>
      </c>
      <c r="U148" s="107">
        <f t="shared" si="43"/>
        <v>0</v>
      </c>
      <c r="V148" s="107">
        <f t="shared" si="43"/>
        <v>0</v>
      </c>
      <c r="W148" s="107">
        <f t="shared" si="43"/>
        <v>0</v>
      </c>
    </row>
    <row r="149" spans="1:23" s="83" customFormat="1" ht="15" hidden="1">
      <c r="A149" s="285"/>
      <c r="B149" s="108"/>
      <c r="C149" s="108"/>
      <c r="D149" s="109">
        <f>'GASTOS CONSOLIDADO'!C132</f>
        <v>713</v>
      </c>
      <c r="E149" s="8" t="str">
        <f>'GASTOS CONSOLIDADO'!D132</f>
        <v>30</v>
      </c>
      <c r="F149" s="8" t="str">
        <f>'GASTOS CONSOLIDADO'!E132</f>
        <v>001</v>
      </c>
      <c r="G149" s="110" t="str">
        <f>'GASTOS CONSOLIDADO'!F132</f>
        <v>Interes de la Deuda con el Sector Privado</v>
      </c>
      <c r="H149" s="111">
        <f>'GASTOS CONSOLIDADO'!G132</f>
        <v>0</v>
      </c>
      <c r="I149" s="111">
        <f>'GASTOS CONSOLIDADO'!H132</f>
        <v>0</v>
      </c>
      <c r="J149" s="111">
        <f>H149+I149</f>
        <v>0</v>
      </c>
      <c r="K149" s="5">
        <v>0</v>
      </c>
      <c r="L149" s="5">
        <v>0</v>
      </c>
      <c r="M149" s="5">
        <v>0</v>
      </c>
      <c r="N149" s="5">
        <v>0</v>
      </c>
      <c r="O149" s="5">
        <f t="shared" si="44"/>
        <v>0</v>
      </c>
      <c r="P149" s="5">
        <v>0</v>
      </c>
      <c r="Q149" s="5">
        <v>0</v>
      </c>
      <c r="R149" s="5"/>
      <c r="S149" s="5"/>
      <c r="T149" s="5">
        <f t="shared" si="45"/>
        <v>0</v>
      </c>
      <c r="U149" s="5">
        <v>0</v>
      </c>
      <c r="V149" s="5">
        <v>0</v>
      </c>
      <c r="W149" s="5">
        <v>0</v>
      </c>
    </row>
    <row r="150" spans="1:23" s="83" customFormat="1" ht="15" hidden="1">
      <c r="A150" s="285"/>
      <c r="B150" s="104"/>
      <c r="C150" s="104"/>
      <c r="D150" s="101"/>
      <c r="E150" s="17"/>
      <c r="F150" s="17"/>
      <c r="G150" s="104"/>
      <c r="H150" s="21"/>
      <c r="I150" s="21"/>
      <c r="J150" s="21"/>
      <c r="K150" s="21"/>
      <c r="L150" s="21"/>
      <c r="M150" s="21"/>
      <c r="N150" s="21"/>
      <c r="O150" s="21">
        <f t="shared" si="44"/>
        <v>0</v>
      </c>
      <c r="P150" s="21"/>
      <c r="Q150" s="21"/>
      <c r="R150" s="21"/>
      <c r="S150" s="21"/>
      <c r="T150" s="21">
        <f t="shared" si="45"/>
        <v>0</v>
      </c>
      <c r="U150" s="21"/>
      <c r="V150" s="21"/>
      <c r="W150" s="21"/>
    </row>
    <row r="151" spans="1:23" s="98" customFormat="1" ht="15">
      <c r="A151" s="285"/>
      <c r="B151" s="43">
        <f>'GASTOS CONSOLIDADO'!A134</f>
        <v>800</v>
      </c>
      <c r="C151" s="43">
        <v>800</v>
      </c>
      <c r="D151" s="43"/>
      <c r="E151" s="1"/>
      <c r="F151" s="1"/>
      <c r="G151" s="102" t="str">
        <f>'GASTOS CONSOLIDADO'!F134</f>
        <v>TRANSFERENCIAS</v>
      </c>
      <c r="H151" s="3">
        <f>+H158+H169</f>
        <v>264760000</v>
      </c>
      <c r="I151" s="3">
        <f>+I158+I169</f>
        <v>-48645018</v>
      </c>
      <c r="J151" s="3">
        <f aca="true" t="shared" si="46" ref="J151:W151">+J158+J169</f>
        <v>216114982</v>
      </c>
      <c r="K151" s="3">
        <f t="shared" si="46"/>
        <v>0</v>
      </c>
      <c r="L151" s="3">
        <f t="shared" si="46"/>
        <v>0</v>
      </c>
      <c r="M151" s="3">
        <f t="shared" si="46"/>
        <v>0</v>
      </c>
      <c r="N151" s="3">
        <f t="shared" si="46"/>
        <v>66857318</v>
      </c>
      <c r="O151" s="3">
        <f t="shared" si="44"/>
        <v>66857318</v>
      </c>
      <c r="P151" s="3">
        <f t="shared" si="46"/>
        <v>10888505</v>
      </c>
      <c r="Q151" s="3">
        <f t="shared" si="46"/>
        <v>91018377</v>
      </c>
      <c r="R151" s="3">
        <f>+R158+R169</f>
        <v>4428965</v>
      </c>
      <c r="S151" s="3">
        <f t="shared" si="46"/>
        <v>9546240</v>
      </c>
      <c r="T151" s="3">
        <f t="shared" si="45"/>
        <v>182739405</v>
      </c>
      <c r="U151" s="3">
        <f t="shared" si="46"/>
        <v>34495577</v>
      </c>
      <c r="V151" s="3">
        <f t="shared" si="46"/>
        <v>181619405</v>
      </c>
      <c r="W151" s="3">
        <f t="shared" si="46"/>
        <v>0</v>
      </c>
    </row>
    <row r="152" spans="1:23" s="98" customFormat="1" ht="15" hidden="1">
      <c r="A152" s="285"/>
      <c r="B152" s="102"/>
      <c r="C152" s="102">
        <f>'GASTOS CONSOLIDADO'!B135</f>
        <v>810</v>
      </c>
      <c r="D152" s="43"/>
      <c r="E152" s="1"/>
      <c r="F152" s="1"/>
      <c r="G152" s="102" t="str">
        <f>'GASTOS CONSOLIDADO'!F135</f>
        <v>Transferencias Corrientes al Sector Público</v>
      </c>
      <c r="H152" s="3">
        <f aca="true" t="shared" si="47" ref="H152:W152">H153</f>
        <v>0</v>
      </c>
      <c r="I152" s="3">
        <f t="shared" si="47"/>
        <v>0</v>
      </c>
      <c r="J152" s="3">
        <f t="shared" si="47"/>
        <v>0</v>
      </c>
      <c r="K152" s="3">
        <f t="shared" si="47"/>
        <v>0</v>
      </c>
      <c r="L152" s="3">
        <f t="shared" si="47"/>
        <v>0</v>
      </c>
      <c r="M152" s="3">
        <f t="shared" si="47"/>
        <v>0</v>
      </c>
      <c r="N152" s="3">
        <f t="shared" si="47"/>
        <v>0</v>
      </c>
      <c r="O152" s="3">
        <f t="shared" si="44"/>
        <v>0</v>
      </c>
      <c r="P152" s="3">
        <f t="shared" si="47"/>
        <v>0</v>
      </c>
      <c r="Q152" s="3">
        <f t="shared" si="47"/>
        <v>0</v>
      </c>
      <c r="R152" s="3">
        <f>+R159+R163+R165</f>
        <v>970904</v>
      </c>
      <c r="S152" s="3">
        <f t="shared" si="47"/>
        <v>0</v>
      </c>
      <c r="T152" s="3">
        <f t="shared" si="45"/>
        <v>970904</v>
      </c>
      <c r="U152" s="3">
        <f t="shared" si="47"/>
        <v>0</v>
      </c>
      <c r="V152" s="3">
        <f t="shared" si="47"/>
        <v>0</v>
      </c>
      <c r="W152" s="3">
        <f t="shared" si="47"/>
        <v>0</v>
      </c>
    </row>
    <row r="153" spans="1:23" s="98" customFormat="1" ht="20.25" hidden="1">
      <c r="A153" s="285"/>
      <c r="B153" s="102"/>
      <c r="C153" s="102"/>
      <c r="D153" s="43">
        <f>'GASTOS CONSOLIDADO'!C136</f>
        <v>814</v>
      </c>
      <c r="E153" s="1"/>
      <c r="F153" s="1"/>
      <c r="G153" s="29" t="str">
        <f>'GASTOS CONSOLIDADO'!F136</f>
        <v>Transf. Consolidables por Coparticipación Juegos de Azar</v>
      </c>
      <c r="H153" s="107">
        <f>SUM(H154:H157)</f>
        <v>0</v>
      </c>
      <c r="I153" s="107">
        <f aca="true" t="shared" si="48" ref="I153:W153">SUM(I154:I157)</f>
        <v>0</v>
      </c>
      <c r="J153" s="107">
        <f t="shared" si="48"/>
        <v>0</v>
      </c>
      <c r="K153" s="107">
        <f t="shared" si="48"/>
        <v>0</v>
      </c>
      <c r="L153" s="107">
        <f t="shared" si="48"/>
        <v>0</v>
      </c>
      <c r="M153" s="107">
        <f t="shared" si="48"/>
        <v>0</v>
      </c>
      <c r="N153" s="107">
        <f t="shared" si="48"/>
        <v>0</v>
      </c>
      <c r="O153" s="107">
        <f t="shared" si="44"/>
        <v>0</v>
      </c>
      <c r="P153" s="107">
        <f t="shared" si="48"/>
        <v>0</v>
      </c>
      <c r="Q153" s="107">
        <f t="shared" si="48"/>
        <v>0</v>
      </c>
      <c r="R153" s="3">
        <f>+R160+R164+R166</f>
        <v>2823513</v>
      </c>
      <c r="S153" s="107">
        <f t="shared" si="48"/>
        <v>0</v>
      </c>
      <c r="T153" s="107">
        <f t="shared" si="45"/>
        <v>2823513</v>
      </c>
      <c r="U153" s="107">
        <f t="shared" si="48"/>
        <v>0</v>
      </c>
      <c r="V153" s="107">
        <f t="shared" si="48"/>
        <v>0</v>
      </c>
      <c r="W153" s="107">
        <f t="shared" si="48"/>
        <v>0</v>
      </c>
    </row>
    <row r="154" spans="1:23" s="98" customFormat="1" ht="21" hidden="1">
      <c r="A154" s="285"/>
      <c r="B154" s="108"/>
      <c r="C154" s="108"/>
      <c r="D154" s="109">
        <f>'GASTOS CONSOLIDADO'!C137</f>
        <v>814</v>
      </c>
      <c r="E154" s="8" t="str">
        <f>'GASTOS CONSOLIDADO'!D137</f>
        <v>30</v>
      </c>
      <c r="F154" s="8" t="str">
        <f>'GASTOS CONSOLIDADO'!E137</f>
        <v>001</v>
      </c>
      <c r="G154" s="110" t="str">
        <f>'GASTOS CONSOLIDADO'!F137</f>
        <v>Tesoro Nac.(10% s/ Juego de Suerte o de Azar recaud.)</v>
      </c>
      <c r="H154" s="111">
        <f>'GASTOS CONSOLIDADO'!G137</f>
        <v>0</v>
      </c>
      <c r="I154" s="111">
        <f>'GASTOS CONSOLIDADO'!H137</f>
        <v>0</v>
      </c>
      <c r="J154" s="111">
        <f>'GASTOS CONSOLIDADO'!I137</f>
        <v>0</v>
      </c>
      <c r="K154" s="111">
        <f>'GASTOS CONSOLIDADO'!J137</f>
        <v>0</v>
      </c>
      <c r="L154" s="111">
        <f>'GASTOS CONSOLIDADO'!K137</f>
        <v>0</v>
      </c>
      <c r="M154" s="111">
        <f>'GASTOS CONSOLIDADO'!L137</f>
        <v>0</v>
      </c>
      <c r="N154" s="111">
        <f>'GASTOS CONSOLIDADO'!M137</f>
        <v>0</v>
      </c>
      <c r="O154" s="111">
        <f t="shared" si="44"/>
        <v>0</v>
      </c>
      <c r="P154" s="111">
        <f>'GASTOS CONSOLIDADO'!O137</f>
        <v>0</v>
      </c>
      <c r="Q154" s="111">
        <f>'GASTOS CONSOLIDADO'!P137</f>
        <v>0</v>
      </c>
      <c r="R154" s="3">
        <f>+R161+R165+R167</f>
        <v>485452</v>
      </c>
      <c r="S154" s="111">
        <f>'GASTOS CONSOLIDADO'!T137</f>
        <v>0</v>
      </c>
      <c r="T154" s="111">
        <f t="shared" si="45"/>
        <v>485452</v>
      </c>
      <c r="U154" s="111">
        <f>'GASTOS CONSOLIDADO'!V137</f>
        <v>0</v>
      </c>
      <c r="V154" s="111">
        <f>'GASTOS CONSOLIDADO'!W137</f>
        <v>0</v>
      </c>
      <c r="W154" s="111">
        <f>'GASTOS CONSOLIDADO'!X137</f>
        <v>0</v>
      </c>
    </row>
    <row r="155" spans="1:23" s="98" customFormat="1" ht="20.25" hidden="1">
      <c r="A155" s="285"/>
      <c r="B155" s="103"/>
      <c r="C155" s="103"/>
      <c r="D155" s="100">
        <f>'GASTOS CONSOLIDADO'!C138</f>
        <v>814</v>
      </c>
      <c r="E155" s="2" t="str">
        <f>'GASTOS CONSOLIDADO'!D138</f>
        <v>30</v>
      </c>
      <c r="F155" s="2" t="str">
        <f>'GASTOS CONSOLIDADO'!E138</f>
        <v>001</v>
      </c>
      <c r="G155" s="112" t="str">
        <f>'GASTOS CONSOLIDADO'!F138</f>
        <v>Gob. Depart. (30 % s/ Juego de Suerte o de Azar recaud.)</v>
      </c>
      <c r="H155" s="5">
        <f>'GASTOS CONSOLIDADO'!G138</f>
        <v>0</v>
      </c>
      <c r="I155" s="5">
        <f>'GASTOS CONSOLIDADO'!H138</f>
        <v>0</v>
      </c>
      <c r="J155" s="5">
        <f>'GASTOS CONSOLIDADO'!I138</f>
        <v>0</v>
      </c>
      <c r="K155" s="5">
        <f>'GASTOS CONSOLIDADO'!J138</f>
        <v>0</v>
      </c>
      <c r="L155" s="5">
        <f>'GASTOS CONSOLIDADO'!K138</f>
        <v>0</v>
      </c>
      <c r="M155" s="5">
        <f>'GASTOS CONSOLIDADO'!L138</f>
        <v>0</v>
      </c>
      <c r="N155" s="5">
        <f>'GASTOS CONSOLIDADO'!M138</f>
        <v>0</v>
      </c>
      <c r="O155" s="5">
        <f t="shared" si="44"/>
        <v>0</v>
      </c>
      <c r="P155" s="5">
        <f>'GASTOS CONSOLIDADO'!O138</f>
        <v>0</v>
      </c>
      <c r="Q155" s="5">
        <f>'GASTOS CONSOLIDADO'!P138</f>
        <v>0</v>
      </c>
      <c r="R155" s="3">
        <f>+R162+R166+R168</f>
        <v>2823513</v>
      </c>
      <c r="S155" s="5">
        <f>'GASTOS CONSOLIDADO'!T138</f>
        <v>0</v>
      </c>
      <c r="T155" s="5">
        <f t="shared" si="45"/>
        <v>2823513</v>
      </c>
      <c r="U155" s="5">
        <f>'GASTOS CONSOLIDADO'!V138</f>
        <v>0</v>
      </c>
      <c r="V155" s="5">
        <f>'GASTOS CONSOLIDADO'!W138</f>
        <v>0</v>
      </c>
      <c r="W155" s="5">
        <f>'GASTOS CONSOLIDADO'!X138</f>
        <v>0</v>
      </c>
    </row>
    <row r="156" spans="1:23" s="98" customFormat="1" ht="20.25" hidden="1">
      <c r="A156" s="285"/>
      <c r="B156" s="103"/>
      <c r="C156" s="103"/>
      <c r="D156" s="100">
        <f>'GASTOS CONSOLIDADO'!C139</f>
        <v>814</v>
      </c>
      <c r="E156" s="2" t="str">
        <f>'GASTOS CONSOLIDADO'!D139</f>
        <v>30</v>
      </c>
      <c r="F156" s="2" t="str">
        <f>'GASTOS CONSOLIDADO'!E139</f>
        <v>001</v>
      </c>
      <c r="G156" s="112" t="str">
        <f>'GASTOS CONSOLIDADO'!F139</f>
        <v>DIBEN (30 % s/ Juego de Suerte o de Azar recaudado)</v>
      </c>
      <c r="H156" s="5">
        <f>'GASTOS CONSOLIDADO'!G139</f>
        <v>0</v>
      </c>
      <c r="I156" s="5">
        <f>'GASTOS CONSOLIDADO'!H139</f>
        <v>0</v>
      </c>
      <c r="J156" s="5">
        <f>'GASTOS CONSOLIDADO'!I139</f>
        <v>0</v>
      </c>
      <c r="K156" s="5">
        <f>'GASTOS CONSOLIDADO'!J139</f>
        <v>0</v>
      </c>
      <c r="L156" s="5">
        <f>'GASTOS CONSOLIDADO'!K139</f>
        <v>0</v>
      </c>
      <c r="M156" s="5">
        <f>'GASTOS CONSOLIDADO'!L139</f>
        <v>0</v>
      </c>
      <c r="N156" s="5">
        <f>'GASTOS CONSOLIDADO'!M139</f>
        <v>0</v>
      </c>
      <c r="O156" s="5">
        <f t="shared" si="44"/>
        <v>0</v>
      </c>
      <c r="P156" s="5">
        <f>'GASTOS CONSOLIDADO'!O139</f>
        <v>0</v>
      </c>
      <c r="Q156" s="5">
        <f>'GASTOS CONSOLIDADO'!P139</f>
        <v>0</v>
      </c>
      <c r="R156" s="3">
        <f>+R163+R167+R169</f>
        <v>1605452</v>
      </c>
      <c r="S156" s="5">
        <f>'GASTOS CONSOLIDADO'!T139</f>
        <v>0</v>
      </c>
      <c r="T156" s="5">
        <f t="shared" si="45"/>
        <v>1605452</v>
      </c>
      <c r="U156" s="5">
        <f>'GASTOS CONSOLIDADO'!V139</f>
        <v>0</v>
      </c>
      <c r="V156" s="5">
        <f>'GASTOS CONSOLIDADO'!W139</f>
        <v>0</v>
      </c>
      <c r="W156" s="5">
        <f>'GASTOS CONSOLIDADO'!X139</f>
        <v>0</v>
      </c>
    </row>
    <row r="157" spans="1:23" s="83" customFormat="1" ht="15" hidden="1">
      <c r="A157" s="285"/>
      <c r="B157" s="104"/>
      <c r="C157" s="104"/>
      <c r="D157" s="101"/>
      <c r="E157" s="17"/>
      <c r="F157" s="17"/>
      <c r="G157" s="104"/>
      <c r="H157" s="21"/>
      <c r="I157" s="21"/>
      <c r="J157" s="21"/>
      <c r="K157" s="21"/>
      <c r="L157" s="21"/>
      <c r="M157" s="21"/>
      <c r="N157" s="21"/>
      <c r="O157" s="21">
        <f t="shared" si="44"/>
        <v>0</v>
      </c>
      <c r="P157" s="21"/>
      <c r="Q157" s="21"/>
      <c r="R157" s="21"/>
      <c r="S157" s="21"/>
      <c r="T157" s="21">
        <f t="shared" si="45"/>
        <v>0</v>
      </c>
      <c r="U157" s="21"/>
      <c r="V157" s="21"/>
      <c r="W157" s="21"/>
    </row>
    <row r="158" spans="1:23" s="98" customFormat="1" ht="22.5">
      <c r="A158" s="285"/>
      <c r="B158" s="43"/>
      <c r="C158" s="43">
        <f>'GASTOS CONSOLIDADO'!B141</f>
        <v>830</v>
      </c>
      <c r="D158" s="43"/>
      <c r="E158" s="1"/>
      <c r="F158" s="1"/>
      <c r="G158" s="113" t="str">
        <f>'GASTOS CONSOLIDADO'!F141</f>
        <v>Otras transferencias Corrientes al sector público o privado</v>
      </c>
      <c r="H158" s="3">
        <f>+H162+H164</f>
        <v>146400000</v>
      </c>
      <c r="I158" s="3">
        <f>+I162+I164</f>
        <v>35090000</v>
      </c>
      <c r="J158" s="3">
        <f aca="true" t="shared" si="49" ref="J158:W158">+J162+J164</f>
        <v>181490000</v>
      </c>
      <c r="K158" s="3">
        <f t="shared" si="49"/>
        <v>0</v>
      </c>
      <c r="L158" s="3">
        <f t="shared" si="49"/>
        <v>0</v>
      </c>
      <c r="M158" s="3">
        <f t="shared" si="49"/>
        <v>0</v>
      </c>
      <c r="N158" s="3">
        <f t="shared" si="49"/>
        <v>66857318</v>
      </c>
      <c r="O158" s="3">
        <f t="shared" si="44"/>
        <v>66857318</v>
      </c>
      <c r="P158" s="3">
        <f t="shared" si="49"/>
        <v>10888505</v>
      </c>
      <c r="Q158" s="3">
        <f t="shared" si="49"/>
        <v>89903144</v>
      </c>
      <c r="R158" s="3">
        <f t="shared" si="49"/>
        <v>3308965</v>
      </c>
      <c r="S158" s="3">
        <f t="shared" si="49"/>
        <v>9546240</v>
      </c>
      <c r="T158" s="3">
        <f t="shared" si="45"/>
        <v>180504172</v>
      </c>
      <c r="U158" s="3">
        <f t="shared" si="49"/>
        <v>985828</v>
      </c>
      <c r="V158" s="3">
        <f t="shared" si="49"/>
        <v>180504172</v>
      </c>
      <c r="W158" s="3">
        <f t="shared" si="49"/>
        <v>0</v>
      </c>
    </row>
    <row r="159" spans="1:23" s="98" customFormat="1" ht="22.5">
      <c r="A159" s="285"/>
      <c r="B159" s="103"/>
      <c r="C159" s="103"/>
      <c r="D159" s="43">
        <f>'GASTOS CONSOLIDADO'!C142</f>
        <v>831</v>
      </c>
      <c r="E159" s="2"/>
      <c r="F159" s="2"/>
      <c r="G159" s="114" t="str">
        <f>'GASTOS CONSOLIDADO'!F142</f>
        <v>Otras Transf. a Ent. con fines Soc. o de Emergencia Nacional</v>
      </c>
      <c r="H159" s="107">
        <f aca="true" t="shared" si="50" ref="H159:N159">SUM(H160:H161)</f>
        <v>0</v>
      </c>
      <c r="I159" s="107">
        <f t="shared" si="50"/>
        <v>0</v>
      </c>
      <c r="J159" s="107">
        <f t="shared" si="50"/>
        <v>0</v>
      </c>
      <c r="K159" s="107">
        <f t="shared" si="50"/>
        <v>0</v>
      </c>
      <c r="L159" s="107">
        <f t="shared" si="50"/>
        <v>0</v>
      </c>
      <c r="M159" s="107">
        <f t="shared" si="50"/>
        <v>0</v>
      </c>
      <c r="N159" s="107">
        <f t="shared" si="50"/>
        <v>0</v>
      </c>
      <c r="O159" s="107">
        <f t="shared" si="44"/>
        <v>0</v>
      </c>
      <c r="P159" s="107">
        <f aca="true" t="shared" si="51" ref="P159:W159">SUM(P160:P161)</f>
        <v>0</v>
      </c>
      <c r="Q159" s="107">
        <f t="shared" si="51"/>
        <v>0</v>
      </c>
      <c r="R159" s="107"/>
      <c r="S159" s="107"/>
      <c r="T159" s="107">
        <f t="shared" si="45"/>
        <v>0</v>
      </c>
      <c r="U159" s="107">
        <f t="shared" si="51"/>
        <v>0</v>
      </c>
      <c r="V159" s="107">
        <f t="shared" si="51"/>
        <v>0</v>
      </c>
      <c r="W159" s="107">
        <f t="shared" si="51"/>
        <v>0</v>
      </c>
    </row>
    <row r="160" spans="1:23" s="98" customFormat="1" ht="15">
      <c r="A160" s="285"/>
      <c r="B160" s="103"/>
      <c r="C160" s="103"/>
      <c r="D160" s="100">
        <f>'GASTOS CONSOLIDADO'!C143</f>
        <v>831</v>
      </c>
      <c r="E160" s="2" t="str">
        <f>'GASTOS CONSOLIDADO'!D143</f>
        <v>30</v>
      </c>
      <c r="F160" s="2" t="str">
        <f>'GASTOS CONSOLIDADO'!E143</f>
        <v>001</v>
      </c>
      <c r="G160" s="103" t="str">
        <f>'GASTOS CONSOLIDADO'!F143</f>
        <v>Otras Transferencias a Ent. C/fines Soc. o de Emerg. Nacional</v>
      </c>
      <c r="H160" s="5">
        <f>'GASTOS CONSOLIDADO'!G143</f>
        <v>0</v>
      </c>
      <c r="I160" s="5">
        <f>'GASTOS CONSOLIDADO'!H143</f>
        <v>0</v>
      </c>
      <c r="J160" s="5">
        <f>H160+I160</f>
        <v>0</v>
      </c>
      <c r="K160" s="5">
        <v>0</v>
      </c>
      <c r="L160" s="5">
        <v>0</v>
      </c>
      <c r="M160" s="5">
        <v>0</v>
      </c>
      <c r="N160" s="5">
        <v>0</v>
      </c>
      <c r="O160" s="5">
        <f t="shared" si="44"/>
        <v>0</v>
      </c>
      <c r="P160" s="5">
        <v>0</v>
      </c>
      <c r="Q160" s="5">
        <v>0</v>
      </c>
      <c r="R160" s="5"/>
      <c r="S160" s="5"/>
      <c r="T160" s="5">
        <f t="shared" si="45"/>
        <v>0</v>
      </c>
      <c r="U160" s="5">
        <v>0</v>
      </c>
      <c r="V160" s="5">
        <v>0</v>
      </c>
      <c r="W160" s="5">
        <v>0</v>
      </c>
    </row>
    <row r="161" spans="1:23" s="83" customFormat="1" ht="15">
      <c r="A161" s="285"/>
      <c r="B161" s="104"/>
      <c r="C161" s="104"/>
      <c r="D161" s="101"/>
      <c r="E161" s="17"/>
      <c r="F161" s="17"/>
      <c r="G161" s="104"/>
      <c r="H161" s="21"/>
      <c r="I161" s="21"/>
      <c r="J161" s="21"/>
      <c r="K161" s="21"/>
      <c r="L161" s="21"/>
      <c r="M161" s="21"/>
      <c r="N161" s="21"/>
      <c r="O161" s="21">
        <f t="shared" si="44"/>
        <v>0</v>
      </c>
      <c r="P161" s="21"/>
      <c r="Q161" s="21"/>
      <c r="R161" s="21"/>
      <c r="S161" s="21"/>
      <c r="T161" s="21">
        <f t="shared" si="45"/>
        <v>0</v>
      </c>
      <c r="U161" s="21"/>
      <c r="V161" s="21"/>
      <c r="W161" s="21"/>
    </row>
    <row r="162" spans="1:23" s="98" customFormat="1" ht="15">
      <c r="A162" s="285"/>
      <c r="B162" s="103"/>
      <c r="C162" s="103"/>
      <c r="D162" s="43">
        <f>'GASTOS CONSOLIDADO'!C145</f>
        <v>833</v>
      </c>
      <c r="E162" s="2"/>
      <c r="F162" s="2"/>
      <c r="G162" s="102" t="str">
        <f>'GASTOS CONSOLIDADO'!F145</f>
        <v>Transferencias a Municipalidades</v>
      </c>
      <c r="H162" s="3">
        <f>H163</f>
        <v>72000000</v>
      </c>
      <c r="I162" s="3">
        <f>I163</f>
        <v>17545000</v>
      </c>
      <c r="J162" s="3">
        <f aca="true" t="shared" si="52" ref="J162:W162">J163</f>
        <v>89545000</v>
      </c>
      <c r="K162" s="3">
        <f t="shared" si="52"/>
        <v>0</v>
      </c>
      <c r="L162" s="3">
        <f t="shared" si="52"/>
        <v>0</v>
      </c>
      <c r="M162" s="3">
        <f t="shared" si="52"/>
        <v>0</v>
      </c>
      <c r="N162" s="3">
        <f t="shared" si="52"/>
        <v>33428659</v>
      </c>
      <c r="O162" s="3">
        <f t="shared" si="44"/>
        <v>33428659</v>
      </c>
      <c r="P162" s="3">
        <f t="shared" si="52"/>
        <v>9328548</v>
      </c>
      <c r="Q162" s="3">
        <f t="shared" si="52"/>
        <v>40287298</v>
      </c>
      <c r="R162" s="3">
        <f t="shared" si="52"/>
        <v>485452</v>
      </c>
      <c r="S162" s="3">
        <f t="shared" si="52"/>
        <v>4773120</v>
      </c>
      <c r="T162" s="3">
        <f t="shared" si="45"/>
        <v>88303077</v>
      </c>
      <c r="U162" s="3">
        <f t="shared" si="52"/>
        <v>1241923</v>
      </c>
      <c r="V162" s="3">
        <f t="shared" si="52"/>
        <v>88303077</v>
      </c>
      <c r="W162" s="3">
        <f t="shared" si="52"/>
        <v>0</v>
      </c>
    </row>
    <row r="163" spans="1:23" s="98" customFormat="1" ht="15">
      <c r="A163" s="285"/>
      <c r="B163" s="103"/>
      <c r="C163" s="103"/>
      <c r="D163" s="100">
        <f>'GASTOS CONSOLIDADO'!C146</f>
        <v>833</v>
      </c>
      <c r="E163" s="2" t="str">
        <f>'GASTOS CONSOLIDADO'!D146</f>
        <v>30</v>
      </c>
      <c r="F163" s="2" t="str">
        <f>'GASTOS CONSOLIDADO'!E146</f>
        <v>001</v>
      </c>
      <c r="G163" s="103" t="str">
        <f>'GASTOS CONSOLIDADO'!F146</f>
        <v>Municipios de Menores Recursos (15 % s/ Imp. Inm. Recaud)</v>
      </c>
      <c r="H163" s="5">
        <f>'GASTOS CONSOLIDADO'!G146</f>
        <v>72000000</v>
      </c>
      <c r="I163" s="5">
        <f>'GASTOS CONSOLIDADO'!H146</f>
        <v>17545000</v>
      </c>
      <c r="J163" s="5">
        <f>H163+I163</f>
        <v>89545000</v>
      </c>
      <c r="K163" s="5">
        <v>0</v>
      </c>
      <c r="L163" s="5">
        <v>0</v>
      </c>
      <c r="M163" s="5">
        <v>0</v>
      </c>
      <c r="N163" s="5">
        <v>33428659</v>
      </c>
      <c r="O163" s="5">
        <f t="shared" si="44"/>
        <v>33428659</v>
      </c>
      <c r="P163" s="5">
        <v>9328548</v>
      </c>
      <c r="Q163" s="5">
        <v>40287298</v>
      </c>
      <c r="R163" s="5">
        <f>+HOJA!D77</f>
        <v>485452</v>
      </c>
      <c r="S163" s="5">
        <f>+HOJA!D167</f>
        <v>4773120</v>
      </c>
      <c r="T163" s="5">
        <f t="shared" si="45"/>
        <v>88303077</v>
      </c>
      <c r="U163" s="5">
        <f>J163-T163</f>
        <v>1241923</v>
      </c>
      <c r="V163" s="5">
        <f>+J163-U163</f>
        <v>88303077</v>
      </c>
      <c r="W163" s="5">
        <f>+T163-V163</f>
        <v>0</v>
      </c>
    </row>
    <row r="164" spans="1:23" s="98" customFormat="1" ht="15">
      <c r="A164" s="285"/>
      <c r="B164" s="103"/>
      <c r="C164" s="103"/>
      <c r="D164" s="43">
        <f>'GASTOS CONSOLIDADO'!C148</f>
        <v>834</v>
      </c>
      <c r="E164" s="2"/>
      <c r="F164" s="2"/>
      <c r="G164" s="102" t="str">
        <f>'GASTOS CONSOLIDADO'!F148</f>
        <v>Otras Transf.al Sector Público</v>
      </c>
      <c r="H164" s="107">
        <f>+H165+H167+H168</f>
        <v>74400000</v>
      </c>
      <c r="I164" s="107">
        <f aca="true" t="shared" si="53" ref="I164:W164">+I165+I167+I168</f>
        <v>17545000</v>
      </c>
      <c r="J164" s="107">
        <f t="shared" si="53"/>
        <v>91945000</v>
      </c>
      <c r="K164" s="107">
        <f t="shared" si="53"/>
        <v>0</v>
      </c>
      <c r="L164" s="107">
        <f t="shared" si="53"/>
        <v>0</v>
      </c>
      <c r="M164" s="107">
        <f t="shared" si="53"/>
        <v>0</v>
      </c>
      <c r="N164" s="107">
        <f t="shared" si="53"/>
        <v>33428659</v>
      </c>
      <c r="O164" s="107">
        <f t="shared" si="44"/>
        <v>33428659</v>
      </c>
      <c r="P164" s="107">
        <f t="shared" si="53"/>
        <v>1559957</v>
      </c>
      <c r="Q164" s="107">
        <f t="shared" si="53"/>
        <v>49615846</v>
      </c>
      <c r="R164" s="107">
        <f t="shared" si="53"/>
        <v>2823513</v>
      </c>
      <c r="S164" s="107">
        <f t="shared" si="53"/>
        <v>4773120</v>
      </c>
      <c r="T164" s="107">
        <f t="shared" si="45"/>
        <v>92201095</v>
      </c>
      <c r="U164" s="107">
        <f t="shared" si="53"/>
        <v>-256095</v>
      </c>
      <c r="V164" s="107">
        <f t="shared" si="53"/>
        <v>92201095</v>
      </c>
      <c r="W164" s="107">
        <f t="shared" si="53"/>
        <v>0</v>
      </c>
    </row>
    <row r="165" spans="1:23" s="98" customFormat="1" ht="15">
      <c r="A165" s="285"/>
      <c r="B165" s="103"/>
      <c r="C165" s="103"/>
      <c r="D165" s="100">
        <f>'GASTOS CONSOLIDADO'!C149</f>
        <v>834</v>
      </c>
      <c r="E165" s="2" t="str">
        <f>'GASTOS CONSOLIDADO'!D149</f>
        <v>30</v>
      </c>
      <c r="F165" s="2" t="str">
        <f>'GASTOS CONSOLIDADO'!E149</f>
        <v>001</v>
      </c>
      <c r="G165" s="103" t="str">
        <f>'GASTOS CONSOLIDADO'!F149</f>
        <v>Gobierno Departamental (15% s/ Imp. Inmobiliario Recaud.)</v>
      </c>
      <c r="H165" s="5">
        <f>'GASTOS CONSOLIDADO'!G149</f>
        <v>72000000</v>
      </c>
      <c r="I165" s="5">
        <f>'GASTOS CONSOLIDADO'!H149</f>
        <v>17545000</v>
      </c>
      <c r="J165" s="5">
        <f>H165+I165</f>
        <v>89545000</v>
      </c>
      <c r="K165" s="5">
        <v>0</v>
      </c>
      <c r="L165" s="5">
        <v>0</v>
      </c>
      <c r="M165" s="5">
        <v>0</v>
      </c>
      <c r="N165" s="5">
        <v>33428659</v>
      </c>
      <c r="O165" s="5">
        <f t="shared" si="44"/>
        <v>33428659</v>
      </c>
      <c r="P165" s="5">
        <v>0</v>
      </c>
      <c r="Q165" s="5">
        <v>49615846</v>
      </c>
      <c r="R165" s="5">
        <f>+HOJA!D78</f>
        <v>485452</v>
      </c>
      <c r="S165" s="5">
        <f>+HOJA!D168</f>
        <v>4773120</v>
      </c>
      <c r="T165" s="5">
        <f t="shared" si="45"/>
        <v>88303077</v>
      </c>
      <c r="U165" s="5">
        <f>J165-T165</f>
        <v>1241923</v>
      </c>
      <c r="V165" s="5">
        <f>+J165-U165</f>
        <v>88303077</v>
      </c>
      <c r="W165" s="5">
        <f>+T165-V165</f>
        <v>0</v>
      </c>
    </row>
    <row r="166" spans="1:23" s="98" customFormat="1" ht="15">
      <c r="A166" s="285"/>
      <c r="B166" s="103"/>
      <c r="C166" s="103"/>
      <c r="D166" s="100">
        <v>835</v>
      </c>
      <c r="E166" s="2" t="s">
        <v>77</v>
      </c>
      <c r="F166" s="2" t="s">
        <v>21</v>
      </c>
      <c r="G166" s="103" t="s">
        <v>191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f t="shared" si="44"/>
        <v>0</v>
      </c>
      <c r="P166" s="5">
        <v>0</v>
      </c>
      <c r="Q166" s="5">
        <v>0</v>
      </c>
      <c r="R166" s="5"/>
      <c r="S166" s="5"/>
      <c r="T166" s="5">
        <f t="shared" si="45"/>
        <v>0</v>
      </c>
      <c r="U166" s="5">
        <v>0</v>
      </c>
      <c r="V166" s="5">
        <v>0</v>
      </c>
      <c r="W166" s="5">
        <v>0</v>
      </c>
    </row>
    <row r="167" spans="1:23" s="98" customFormat="1" ht="15">
      <c r="A167" s="285"/>
      <c r="B167" s="103"/>
      <c r="C167" s="103"/>
      <c r="D167" s="100">
        <v>836</v>
      </c>
      <c r="E167" s="2" t="str">
        <f>'GASTOS CONSOLIDADO'!D150</f>
        <v>30</v>
      </c>
      <c r="F167" s="2" t="str">
        <f>'GASTOS CONSOLIDADO'!E150</f>
        <v>001</v>
      </c>
      <c r="G167" s="103" t="str">
        <f>'GASTOS CONSOLIDADO'!F150</f>
        <v>Otras Transferencias al Sector Público</v>
      </c>
      <c r="H167" s="5">
        <v>2400000</v>
      </c>
      <c r="I167" s="5">
        <f>'GASTOS CONSOLIDADO'!H150</f>
        <v>0</v>
      </c>
      <c r="J167" s="5">
        <f>H167+I167</f>
        <v>2400000</v>
      </c>
      <c r="K167" s="5">
        <v>0</v>
      </c>
      <c r="L167" s="5">
        <v>0</v>
      </c>
      <c r="M167" s="5">
        <v>0</v>
      </c>
      <c r="N167" s="5">
        <v>0</v>
      </c>
      <c r="O167" s="5">
        <f t="shared" si="44"/>
        <v>0</v>
      </c>
      <c r="P167" s="5">
        <v>0</v>
      </c>
      <c r="Q167" s="5">
        <v>0</v>
      </c>
      <c r="R167" s="5"/>
      <c r="S167" s="5"/>
      <c r="T167" s="5">
        <f t="shared" si="45"/>
        <v>0</v>
      </c>
      <c r="U167" s="5">
        <f>J167-T167</f>
        <v>2400000</v>
      </c>
      <c r="V167" s="5">
        <f>+J167-U167</f>
        <v>0</v>
      </c>
      <c r="W167" s="5">
        <f>+T167-V167</f>
        <v>0</v>
      </c>
    </row>
    <row r="168" spans="2:23" s="98" customFormat="1" ht="11.25">
      <c r="B168" s="103"/>
      <c r="C168" s="103"/>
      <c r="D168" s="100">
        <v>839</v>
      </c>
      <c r="E168" s="2" t="s">
        <v>77</v>
      </c>
      <c r="F168" s="2" t="s">
        <v>21</v>
      </c>
      <c r="G168" s="103" t="str">
        <f>'GASTOS CONSOLIDADO'!F151</f>
        <v>Transferencias a Organizaciones Municipales</v>
      </c>
      <c r="H168" s="5">
        <v>0</v>
      </c>
      <c r="I168" s="5"/>
      <c r="J168" s="5">
        <f>H168+I168</f>
        <v>0</v>
      </c>
      <c r="K168" s="5">
        <v>0</v>
      </c>
      <c r="L168" s="5">
        <v>0</v>
      </c>
      <c r="M168" s="5">
        <v>0</v>
      </c>
      <c r="N168" s="5">
        <v>0</v>
      </c>
      <c r="O168" s="5">
        <f t="shared" si="44"/>
        <v>0</v>
      </c>
      <c r="P168" s="5">
        <v>1559957</v>
      </c>
      <c r="Q168" s="5">
        <v>0</v>
      </c>
      <c r="R168" s="5">
        <f>+HOJA!D79</f>
        <v>2338061</v>
      </c>
      <c r="S168" s="5"/>
      <c r="T168" s="5">
        <f t="shared" si="45"/>
        <v>3898018</v>
      </c>
      <c r="U168" s="5">
        <f>J168-T168</f>
        <v>-3898018</v>
      </c>
      <c r="V168" s="5">
        <f>+J168-U168</f>
        <v>3898018</v>
      </c>
      <c r="W168" s="5">
        <f>+T168-V168</f>
        <v>0</v>
      </c>
    </row>
    <row r="169" spans="1:23" s="98" customFormat="1" ht="22.5">
      <c r="A169" s="285"/>
      <c r="B169" s="102"/>
      <c r="C169" s="102">
        <f>'GASTOS CONSOLIDADO'!B153</f>
        <v>840</v>
      </c>
      <c r="D169" s="43"/>
      <c r="E169" s="1"/>
      <c r="F169" s="1"/>
      <c r="G169" s="113" t="str">
        <f>'GASTOS CONSOLIDADO'!F153</f>
        <v>Transferencias Corrientes  al  sector Privado, Varias</v>
      </c>
      <c r="H169" s="107">
        <f aca="true" t="shared" si="54" ref="H169:W169">+H170+H174+H187+H184</f>
        <v>118360000</v>
      </c>
      <c r="I169" s="107">
        <f t="shared" si="54"/>
        <v>-83735018</v>
      </c>
      <c r="J169" s="107">
        <f t="shared" si="54"/>
        <v>34624982</v>
      </c>
      <c r="K169" s="107">
        <f t="shared" si="54"/>
        <v>0</v>
      </c>
      <c r="L169" s="107">
        <f t="shared" si="54"/>
        <v>0</v>
      </c>
      <c r="M169" s="107">
        <f t="shared" si="54"/>
        <v>0</v>
      </c>
      <c r="N169" s="107">
        <f t="shared" si="54"/>
        <v>0</v>
      </c>
      <c r="O169" s="107">
        <f t="shared" si="44"/>
        <v>0</v>
      </c>
      <c r="P169" s="107">
        <f t="shared" si="54"/>
        <v>0</v>
      </c>
      <c r="Q169" s="107">
        <f t="shared" si="54"/>
        <v>1115233</v>
      </c>
      <c r="R169" s="107">
        <f t="shared" si="54"/>
        <v>1120000</v>
      </c>
      <c r="S169" s="107">
        <f t="shared" si="54"/>
        <v>0</v>
      </c>
      <c r="T169" s="107">
        <f t="shared" si="45"/>
        <v>2235233</v>
      </c>
      <c r="U169" s="107">
        <f t="shared" si="54"/>
        <v>33509749</v>
      </c>
      <c r="V169" s="107">
        <f t="shared" si="54"/>
        <v>1115233</v>
      </c>
      <c r="W169" s="107">
        <f t="shared" si="54"/>
        <v>0</v>
      </c>
    </row>
    <row r="170" spans="1:23" s="98" customFormat="1" ht="15">
      <c r="A170" s="285"/>
      <c r="B170" s="43"/>
      <c r="C170" s="43"/>
      <c r="D170" s="43">
        <f>'GASTOS CONSOLIDADO'!C154</f>
        <v>841</v>
      </c>
      <c r="E170" s="1"/>
      <c r="F170" s="1"/>
      <c r="G170" s="114" t="str">
        <f>'GASTOS CONSOLIDADO'!F154</f>
        <v>Becas</v>
      </c>
      <c r="H170" s="107">
        <f>+H172</f>
        <v>31620000</v>
      </c>
      <c r="I170" s="107">
        <f aca="true" t="shared" si="55" ref="I170:W170">+I172</f>
        <v>-22090000</v>
      </c>
      <c r="J170" s="107">
        <f t="shared" si="55"/>
        <v>9530000</v>
      </c>
      <c r="K170" s="107">
        <f t="shared" si="55"/>
        <v>0</v>
      </c>
      <c r="L170" s="107">
        <f t="shared" si="55"/>
        <v>0</v>
      </c>
      <c r="M170" s="107">
        <f t="shared" si="55"/>
        <v>0</v>
      </c>
      <c r="N170" s="107">
        <f t="shared" si="55"/>
        <v>0</v>
      </c>
      <c r="O170" s="107">
        <f t="shared" si="44"/>
        <v>0</v>
      </c>
      <c r="P170" s="107">
        <f t="shared" si="55"/>
        <v>0</v>
      </c>
      <c r="Q170" s="107">
        <f t="shared" si="55"/>
        <v>0</v>
      </c>
      <c r="R170" s="107">
        <f t="shared" si="55"/>
        <v>0</v>
      </c>
      <c r="S170" s="107">
        <f t="shared" si="55"/>
        <v>0</v>
      </c>
      <c r="T170" s="107">
        <f t="shared" si="45"/>
        <v>0</v>
      </c>
      <c r="U170" s="107">
        <f t="shared" si="55"/>
        <v>9530000</v>
      </c>
      <c r="V170" s="107">
        <f t="shared" si="55"/>
        <v>0</v>
      </c>
      <c r="W170" s="107">
        <f t="shared" si="55"/>
        <v>0</v>
      </c>
    </row>
    <row r="171" spans="1:23" s="98" customFormat="1" ht="15">
      <c r="A171" s="285"/>
      <c r="B171" s="103"/>
      <c r="C171" s="103"/>
      <c r="D171" s="100">
        <f>'GASTOS CONSOLIDADO'!C155</f>
        <v>841</v>
      </c>
      <c r="E171" s="2" t="str">
        <f>'GASTOS CONSOLIDADO'!D155</f>
        <v>30</v>
      </c>
      <c r="F171" s="2" t="str">
        <f>'GASTOS CONSOLIDADO'!E155</f>
        <v>007</v>
      </c>
      <c r="G171" s="103" t="str">
        <f>'GASTOS CONSOLIDADO'!F155</f>
        <v>Becas</v>
      </c>
      <c r="H171" s="5">
        <f>'GASTOS CONSOLIDADO'!G155</f>
        <v>0</v>
      </c>
      <c r="I171" s="5">
        <f>'GASTOS CONSOLIDADO'!H155</f>
        <v>0</v>
      </c>
      <c r="J171" s="5">
        <f>H171+I171</f>
        <v>0</v>
      </c>
      <c r="K171" s="5">
        <v>0</v>
      </c>
      <c r="L171" s="5">
        <v>0</v>
      </c>
      <c r="M171" s="5">
        <v>0</v>
      </c>
      <c r="N171" s="5">
        <v>0</v>
      </c>
      <c r="O171" s="5">
        <f t="shared" si="44"/>
        <v>0</v>
      </c>
      <c r="P171" s="5">
        <v>0</v>
      </c>
      <c r="Q171" s="5">
        <v>0</v>
      </c>
      <c r="R171" s="5"/>
      <c r="S171" s="5"/>
      <c r="T171" s="5">
        <f t="shared" si="45"/>
        <v>0</v>
      </c>
      <c r="U171" s="5">
        <v>0</v>
      </c>
      <c r="V171" s="5">
        <v>0</v>
      </c>
      <c r="W171" s="5">
        <v>0</v>
      </c>
    </row>
    <row r="172" spans="1:23" s="98" customFormat="1" ht="15">
      <c r="A172" s="285"/>
      <c r="B172" s="103"/>
      <c r="C172" s="103"/>
      <c r="D172" s="100">
        <f>'GASTOS CONSOLIDADO'!C156</f>
        <v>841</v>
      </c>
      <c r="E172" s="2" t="str">
        <f>'GASTOS CONSOLIDADO'!D156</f>
        <v>30</v>
      </c>
      <c r="F172" s="2" t="str">
        <f>'GASTOS CONSOLIDADO'!E156</f>
        <v>001</v>
      </c>
      <c r="G172" s="103" t="str">
        <f>'GASTOS CONSOLIDADO'!F156</f>
        <v>Becas</v>
      </c>
      <c r="H172" s="5">
        <f>'GASTOS CONSOLIDADO'!G156</f>
        <v>31620000</v>
      </c>
      <c r="I172" s="5">
        <f>'GASTOS CONSOLIDADO'!H156</f>
        <v>-22090000</v>
      </c>
      <c r="J172" s="5">
        <f>H172+I172</f>
        <v>9530000</v>
      </c>
      <c r="K172" s="5">
        <v>0</v>
      </c>
      <c r="L172" s="5">
        <v>0</v>
      </c>
      <c r="M172" s="5">
        <v>0</v>
      </c>
      <c r="N172" s="5">
        <v>0</v>
      </c>
      <c r="O172" s="5">
        <f t="shared" si="44"/>
        <v>0</v>
      </c>
      <c r="P172" s="5">
        <v>0</v>
      </c>
      <c r="Q172" s="5">
        <v>0</v>
      </c>
      <c r="R172" s="5"/>
      <c r="S172" s="5"/>
      <c r="T172" s="5">
        <f t="shared" si="45"/>
        <v>0</v>
      </c>
      <c r="U172" s="5">
        <f>J172-T172</f>
        <v>9530000</v>
      </c>
      <c r="V172" s="5">
        <f>+J172-U172</f>
        <v>0</v>
      </c>
      <c r="W172" s="5">
        <v>0</v>
      </c>
    </row>
    <row r="173" spans="1:23" s="83" customFormat="1" ht="15">
      <c r="A173" s="285"/>
      <c r="B173" s="104"/>
      <c r="C173" s="104"/>
      <c r="D173" s="101"/>
      <c r="E173" s="17"/>
      <c r="F173" s="17"/>
      <c r="G173" s="104"/>
      <c r="H173" s="21"/>
      <c r="I173" s="21"/>
      <c r="J173" s="21"/>
      <c r="K173" s="21"/>
      <c r="L173" s="21"/>
      <c r="M173" s="21"/>
      <c r="N173" s="21"/>
      <c r="O173" s="21">
        <f t="shared" si="44"/>
        <v>0</v>
      </c>
      <c r="P173" s="21"/>
      <c r="Q173" s="21"/>
      <c r="R173" s="21"/>
      <c r="S173" s="21"/>
      <c r="T173" s="21">
        <f t="shared" si="45"/>
        <v>0</v>
      </c>
      <c r="U173" s="21"/>
      <c r="V173" s="21"/>
      <c r="W173" s="21"/>
    </row>
    <row r="174" spans="1:23" s="98" customFormat="1" ht="22.5">
      <c r="A174" s="285"/>
      <c r="B174" s="43"/>
      <c r="C174" s="43"/>
      <c r="D174" s="43">
        <f>'GASTOS CONSOLIDADO'!C158</f>
        <v>842</v>
      </c>
      <c r="E174" s="1"/>
      <c r="F174" s="1"/>
      <c r="G174" s="114" t="str">
        <f>'GASTOS CONSOLIDADO'!F158</f>
        <v>Aportes a Entidades Educ. e Instituciones s/ fines de lucro</v>
      </c>
      <c r="H174" s="107">
        <f>+H175+H176+H177+H178+H179++H180+H181+H182</f>
        <v>43500000</v>
      </c>
      <c r="I174" s="107">
        <f aca="true" t="shared" si="56" ref="I174:W174">+I175+I176+I177+I178+I179++I180+I181+I182</f>
        <v>-31500000</v>
      </c>
      <c r="J174" s="107">
        <f t="shared" si="56"/>
        <v>12000000</v>
      </c>
      <c r="K174" s="107">
        <f t="shared" si="56"/>
        <v>0</v>
      </c>
      <c r="L174" s="107">
        <f t="shared" si="56"/>
        <v>0</v>
      </c>
      <c r="M174" s="107">
        <f t="shared" si="56"/>
        <v>0</v>
      </c>
      <c r="N174" s="107">
        <f t="shared" si="56"/>
        <v>0</v>
      </c>
      <c r="O174" s="107">
        <f t="shared" si="44"/>
        <v>0</v>
      </c>
      <c r="P174" s="107">
        <f t="shared" si="56"/>
        <v>0</v>
      </c>
      <c r="Q174" s="107">
        <f t="shared" si="56"/>
        <v>1115233</v>
      </c>
      <c r="R174" s="107">
        <f t="shared" si="56"/>
        <v>0</v>
      </c>
      <c r="S174" s="107">
        <f t="shared" si="56"/>
        <v>0</v>
      </c>
      <c r="T174" s="107">
        <f t="shared" si="45"/>
        <v>1115233</v>
      </c>
      <c r="U174" s="107">
        <f t="shared" si="56"/>
        <v>10884767</v>
      </c>
      <c r="V174" s="107">
        <f t="shared" si="56"/>
        <v>1115233</v>
      </c>
      <c r="W174" s="107">
        <f t="shared" si="56"/>
        <v>0</v>
      </c>
    </row>
    <row r="175" spans="1:23" s="83" customFormat="1" ht="15">
      <c r="A175" s="285"/>
      <c r="B175" s="104"/>
      <c r="C175" s="104"/>
      <c r="D175" s="100">
        <v>842</v>
      </c>
      <c r="E175" s="2" t="s">
        <v>77</v>
      </c>
      <c r="F175" s="2" t="s">
        <v>33</v>
      </c>
      <c r="G175" s="103" t="s">
        <v>529</v>
      </c>
      <c r="H175" s="5">
        <v>43500000</v>
      </c>
      <c r="I175" s="5">
        <v>-31500000</v>
      </c>
      <c r="J175" s="5">
        <v>12000000</v>
      </c>
      <c r="K175" s="5">
        <v>0</v>
      </c>
      <c r="L175" s="5">
        <v>0</v>
      </c>
      <c r="M175" s="5">
        <v>0</v>
      </c>
      <c r="N175" s="5">
        <v>0</v>
      </c>
      <c r="O175" s="5">
        <f t="shared" si="44"/>
        <v>0</v>
      </c>
      <c r="P175" s="5">
        <v>0</v>
      </c>
      <c r="Q175" s="5">
        <v>1115233</v>
      </c>
      <c r="R175" s="5"/>
      <c r="S175" s="5"/>
      <c r="T175" s="5">
        <f t="shared" si="45"/>
        <v>1115233</v>
      </c>
      <c r="U175" s="5">
        <v>10884767</v>
      </c>
      <c r="V175" s="5">
        <v>1115233</v>
      </c>
      <c r="W175" s="5">
        <v>0</v>
      </c>
    </row>
    <row r="176" spans="1:23" s="83" customFormat="1" ht="15" hidden="1">
      <c r="A176" s="285"/>
      <c r="B176" s="104"/>
      <c r="C176" s="104"/>
      <c r="D176" s="100">
        <v>842</v>
      </c>
      <c r="E176" s="2" t="s">
        <v>77</v>
      </c>
      <c r="F176" s="2" t="s">
        <v>21</v>
      </c>
      <c r="G176" s="103" t="s">
        <v>60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f t="shared" si="44"/>
        <v>0</v>
      </c>
      <c r="P176" s="5">
        <v>0</v>
      </c>
      <c r="Q176" s="5">
        <v>0</v>
      </c>
      <c r="R176" s="5"/>
      <c r="S176" s="5"/>
      <c r="T176" s="5">
        <f t="shared" si="45"/>
        <v>0</v>
      </c>
      <c r="U176" s="5">
        <v>0</v>
      </c>
      <c r="V176" s="5">
        <v>0</v>
      </c>
      <c r="W176" s="5">
        <v>0</v>
      </c>
    </row>
    <row r="177" spans="1:23" s="83" customFormat="1" ht="15" hidden="1">
      <c r="A177" s="285"/>
      <c r="B177" s="104"/>
      <c r="C177" s="104"/>
      <c r="D177" s="100">
        <v>842</v>
      </c>
      <c r="E177" s="2" t="s">
        <v>77</v>
      </c>
      <c r="F177" s="2" t="s">
        <v>21</v>
      </c>
      <c r="G177" s="103" t="s">
        <v>530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f t="shared" si="44"/>
        <v>0</v>
      </c>
      <c r="P177" s="5">
        <v>0</v>
      </c>
      <c r="Q177" s="5">
        <v>0</v>
      </c>
      <c r="R177" s="5"/>
      <c r="S177" s="5"/>
      <c r="T177" s="5">
        <f t="shared" si="45"/>
        <v>0</v>
      </c>
      <c r="U177" s="5">
        <v>0</v>
      </c>
      <c r="V177" s="5">
        <v>0</v>
      </c>
      <c r="W177" s="5">
        <v>0</v>
      </c>
    </row>
    <row r="178" spans="1:23" s="83" customFormat="1" ht="15" hidden="1">
      <c r="A178" s="285"/>
      <c r="B178" s="104"/>
      <c r="C178" s="104"/>
      <c r="D178" s="100">
        <v>842</v>
      </c>
      <c r="E178" s="2" t="s">
        <v>77</v>
      </c>
      <c r="F178" s="2" t="s">
        <v>21</v>
      </c>
      <c r="G178" s="103" t="s">
        <v>531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f t="shared" si="44"/>
        <v>0</v>
      </c>
      <c r="P178" s="5">
        <v>0</v>
      </c>
      <c r="Q178" s="5">
        <v>0</v>
      </c>
      <c r="R178" s="5"/>
      <c r="S178" s="5"/>
      <c r="T178" s="5">
        <f t="shared" si="45"/>
        <v>0</v>
      </c>
      <c r="U178" s="5">
        <v>0</v>
      </c>
      <c r="V178" s="5">
        <v>0</v>
      </c>
      <c r="W178" s="5">
        <v>0</v>
      </c>
    </row>
    <row r="179" spans="1:23" s="83" customFormat="1" ht="15" hidden="1">
      <c r="A179" s="285"/>
      <c r="B179" s="104"/>
      <c r="C179" s="104"/>
      <c r="D179" s="100">
        <v>842</v>
      </c>
      <c r="E179" s="2" t="s">
        <v>77</v>
      </c>
      <c r="F179" s="2" t="s">
        <v>21</v>
      </c>
      <c r="G179" s="103" t="s">
        <v>260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f t="shared" si="44"/>
        <v>0</v>
      </c>
      <c r="P179" s="5">
        <v>0</v>
      </c>
      <c r="Q179" s="5">
        <v>0</v>
      </c>
      <c r="R179" s="5"/>
      <c r="S179" s="5"/>
      <c r="T179" s="5">
        <f t="shared" si="45"/>
        <v>0</v>
      </c>
      <c r="U179" s="5">
        <v>0</v>
      </c>
      <c r="V179" s="5">
        <v>0</v>
      </c>
      <c r="W179" s="5">
        <v>0</v>
      </c>
    </row>
    <row r="180" spans="1:23" s="83" customFormat="1" ht="15" hidden="1">
      <c r="A180" s="285"/>
      <c r="B180" s="104"/>
      <c r="C180" s="104"/>
      <c r="D180" s="100">
        <v>842</v>
      </c>
      <c r="E180" s="2" t="s">
        <v>77</v>
      </c>
      <c r="F180" s="2" t="s">
        <v>21</v>
      </c>
      <c r="G180" s="103" t="s">
        <v>313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f t="shared" si="44"/>
        <v>0</v>
      </c>
      <c r="P180" s="5">
        <v>0</v>
      </c>
      <c r="Q180" s="5">
        <v>0</v>
      </c>
      <c r="R180" s="5"/>
      <c r="S180" s="5"/>
      <c r="T180" s="5">
        <f t="shared" si="45"/>
        <v>0</v>
      </c>
      <c r="U180" s="5">
        <v>0</v>
      </c>
      <c r="V180" s="5">
        <v>0</v>
      </c>
      <c r="W180" s="5">
        <v>0</v>
      </c>
    </row>
    <row r="181" spans="1:23" s="83" customFormat="1" ht="15" hidden="1">
      <c r="A181" s="285"/>
      <c r="B181" s="104"/>
      <c r="C181" s="104"/>
      <c r="D181" s="100">
        <v>842</v>
      </c>
      <c r="E181" s="2" t="s">
        <v>77</v>
      </c>
      <c r="F181" s="2" t="s">
        <v>21</v>
      </c>
      <c r="G181" s="103" t="s">
        <v>532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f t="shared" si="44"/>
        <v>0</v>
      </c>
      <c r="P181" s="5">
        <v>0</v>
      </c>
      <c r="Q181" s="5">
        <v>0</v>
      </c>
      <c r="R181" s="5"/>
      <c r="S181" s="5"/>
      <c r="T181" s="5">
        <f t="shared" si="45"/>
        <v>0</v>
      </c>
      <c r="U181" s="5">
        <v>0</v>
      </c>
      <c r="V181" s="5">
        <v>0</v>
      </c>
      <c r="W181" s="5">
        <v>0</v>
      </c>
    </row>
    <row r="182" spans="1:23" s="83" customFormat="1" ht="15" hidden="1">
      <c r="A182" s="285"/>
      <c r="B182" s="104"/>
      <c r="C182" s="104"/>
      <c r="D182" s="100">
        <v>842</v>
      </c>
      <c r="E182" s="2" t="s">
        <v>77</v>
      </c>
      <c r="F182" s="2" t="s">
        <v>21</v>
      </c>
      <c r="G182" s="103" t="s">
        <v>521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f t="shared" si="44"/>
        <v>0</v>
      </c>
      <c r="P182" s="5">
        <v>0</v>
      </c>
      <c r="Q182" s="5">
        <v>0</v>
      </c>
      <c r="R182" s="5"/>
      <c r="S182" s="5"/>
      <c r="T182" s="5">
        <f t="shared" si="45"/>
        <v>0</v>
      </c>
      <c r="U182" s="5">
        <v>0</v>
      </c>
      <c r="V182" s="5">
        <v>0</v>
      </c>
      <c r="W182" s="5">
        <v>0</v>
      </c>
    </row>
    <row r="183" spans="1:23" s="98" customFormat="1" ht="15">
      <c r="A183" s="285"/>
      <c r="B183" s="103"/>
      <c r="C183" s="103"/>
      <c r="D183" s="100"/>
      <c r="E183" s="2"/>
      <c r="F183" s="2"/>
      <c r="G183" s="103"/>
      <c r="H183" s="5"/>
      <c r="I183" s="5"/>
      <c r="J183" s="5"/>
      <c r="K183" s="5"/>
      <c r="L183" s="5"/>
      <c r="M183" s="5"/>
      <c r="N183" s="5"/>
      <c r="O183" s="5">
        <f t="shared" si="44"/>
        <v>0</v>
      </c>
      <c r="P183" s="5"/>
      <c r="Q183" s="5"/>
      <c r="R183" s="5"/>
      <c r="S183" s="5"/>
      <c r="T183" s="5">
        <f t="shared" si="45"/>
        <v>0</v>
      </c>
      <c r="U183" s="5"/>
      <c r="V183" s="5"/>
      <c r="W183" s="5"/>
    </row>
    <row r="184" spans="1:23" s="328" customFormat="1" ht="15.75">
      <c r="A184" s="327"/>
      <c r="B184" s="43"/>
      <c r="C184" s="43"/>
      <c r="D184" s="43">
        <f>'GASTOS CONSOLIDADO'!C175</f>
        <v>846</v>
      </c>
      <c r="E184" s="1"/>
      <c r="F184" s="1"/>
      <c r="G184" s="102" t="str">
        <f>'GASTOS CONSOLIDADO'!F175</f>
        <v>Subsidio y Asistencia Social a Personas y Familias del Sector Privado</v>
      </c>
      <c r="H184" s="107">
        <f>+H185</f>
        <v>31240000</v>
      </c>
      <c r="I184" s="107">
        <f aca="true" t="shared" si="57" ref="I184:W184">+I185</f>
        <v>-28145018</v>
      </c>
      <c r="J184" s="107">
        <f t="shared" si="57"/>
        <v>3094982</v>
      </c>
      <c r="K184" s="107">
        <f t="shared" si="57"/>
        <v>0</v>
      </c>
      <c r="L184" s="107">
        <f t="shared" si="57"/>
        <v>0</v>
      </c>
      <c r="M184" s="107">
        <f t="shared" si="57"/>
        <v>0</v>
      </c>
      <c r="N184" s="107">
        <f t="shared" si="57"/>
        <v>0</v>
      </c>
      <c r="O184" s="107">
        <f t="shared" si="44"/>
        <v>0</v>
      </c>
      <c r="P184" s="107">
        <f t="shared" si="57"/>
        <v>0</v>
      </c>
      <c r="Q184" s="107">
        <f t="shared" si="57"/>
        <v>0</v>
      </c>
      <c r="R184" s="107">
        <f t="shared" si="57"/>
        <v>0</v>
      </c>
      <c r="S184" s="107">
        <f t="shared" si="57"/>
        <v>0</v>
      </c>
      <c r="T184" s="107">
        <f t="shared" si="45"/>
        <v>0</v>
      </c>
      <c r="U184" s="107">
        <f t="shared" si="57"/>
        <v>3094982</v>
      </c>
      <c r="V184" s="107">
        <f t="shared" si="57"/>
        <v>0</v>
      </c>
      <c r="W184" s="107">
        <f t="shared" si="57"/>
        <v>0</v>
      </c>
    </row>
    <row r="185" spans="1:23" s="98" customFormat="1" ht="15">
      <c r="A185" s="285"/>
      <c r="B185" s="103"/>
      <c r="C185" s="103"/>
      <c r="D185" s="100">
        <f>'GASTOS CONSOLIDADO'!C176</f>
        <v>846</v>
      </c>
      <c r="E185" s="2" t="str">
        <f>'GASTOS CONSOLIDADO'!D176</f>
        <v>30</v>
      </c>
      <c r="F185" s="2" t="str">
        <f>'GASTOS CONSOLIDADO'!E176</f>
        <v>001</v>
      </c>
      <c r="G185" s="103" t="str">
        <f>'GASTOS CONSOLIDADO'!F176</f>
        <v>Subsidio y Asistencia Social a Personas y Familias del Sector Privado</v>
      </c>
      <c r="H185" s="5">
        <f>'GASTOS CONSOLIDADO'!G176</f>
        <v>31240000</v>
      </c>
      <c r="I185" s="5">
        <f>'GASTOS CONSOLIDADO'!H176</f>
        <v>-28145018</v>
      </c>
      <c r="J185" s="5">
        <f>H185+I185</f>
        <v>3094982</v>
      </c>
      <c r="K185" s="5">
        <v>0</v>
      </c>
      <c r="L185" s="5">
        <v>0</v>
      </c>
      <c r="M185" s="5">
        <v>0</v>
      </c>
      <c r="N185" s="5">
        <v>0</v>
      </c>
      <c r="O185" s="5">
        <f t="shared" si="44"/>
        <v>0</v>
      </c>
      <c r="P185" s="5">
        <v>0</v>
      </c>
      <c r="Q185" s="5">
        <v>0</v>
      </c>
      <c r="R185" s="5"/>
      <c r="S185" s="5"/>
      <c r="T185" s="5">
        <f t="shared" si="45"/>
        <v>0</v>
      </c>
      <c r="U185" s="5">
        <f>J185-T185</f>
        <v>3094982</v>
      </c>
      <c r="V185" s="5">
        <f>+J185-U185</f>
        <v>0</v>
      </c>
      <c r="W185" s="5">
        <f>+T185-V185</f>
        <v>0</v>
      </c>
    </row>
    <row r="186" spans="1:23" s="83" customFormat="1" ht="15">
      <c r="A186" s="285"/>
      <c r="B186" s="104"/>
      <c r="C186" s="104"/>
      <c r="D186" s="101"/>
      <c r="E186" s="17"/>
      <c r="F186" s="17"/>
      <c r="G186" s="104"/>
      <c r="H186" s="21"/>
      <c r="I186" s="21"/>
      <c r="J186" s="21"/>
      <c r="K186" s="21"/>
      <c r="L186" s="21"/>
      <c r="M186" s="21"/>
      <c r="N186" s="21"/>
      <c r="O186" s="21">
        <f t="shared" si="44"/>
        <v>0</v>
      </c>
      <c r="P186" s="21"/>
      <c r="Q186" s="21"/>
      <c r="R186" s="21"/>
      <c r="S186" s="21"/>
      <c r="T186" s="21">
        <f t="shared" si="45"/>
        <v>0</v>
      </c>
      <c r="U186" s="21"/>
      <c r="V186" s="21"/>
      <c r="W186" s="21"/>
    </row>
    <row r="187" spans="1:23" s="83" customFormat="1" ht="22.5">
      <c r="A187" s="285"/>
      <c r="B187" s="43"/>
      <c r="C187" s="43"/>
      <c r="D187" s="43">
        <f>'GASTOS CONSOLIDADO'!C178</f>
        <v>848</v>
      </c>
      <c r="E187" s="1"/>
      <c r="F187" s="1"/>
      <c r="G187" s="114" t="str">
        <f>'GASTOS CONSOLIDADO'!F178</f>
        <v>Transferencias para Complemento Nutricional en  las Escuelas Públicas</v>
      </c>
      <c r="H187" s="107">
        <f aca="true" t="shared" si="58" ref="H187:W187">H188</f>
        <v>12000000</v>
      </c>
      <c r="I187" s="107">
        <f t="shared" si="58"/>
        <v>-2000000</v>
      </c>
      <c r="J187" s="107">
        <f t="shared" si="58"/>
        <v>10000000</v>
      </c>
      <c r="K187" s="107">
        <f t="shared" si="58"/>
        <v>0</v>
      </c>
      <c r="L187" s="107">
        <f t="shared" si="58"/>
        <v>0</v>
      </c>
      <c r="M187" s="107">
        <f t="shared" si="58"/>
        <v>0</v>
      </c>
      <c r="N187" s="107">
        <f t="shared" si="58"/>
        <v>0</v>
      </c>
      <c r="O187" s="107">
        <f t="shared" si="44"/>
        <v>0</v>
      </c>
      <c r="P187" s="107">
        <f t="shared" si="58"/>
        <v>0</v>
      </c>
      <c r="Q187" s="107">
        <f t="shared" si="58"/>
        <v>0</v>
      </c>
      <c r="R187" s="107">
        <f t="shared" si="58"/>
        <v>1120000</v>
      </c>
      <c r="S187" s="107">
        <f t="shared" si="58"/>
        <v>0</v>
      </c>
      <c r="T187" s="107">
        <f t="shared" si="45"/>
        <v>1120000</v>
      </c>
      <c r="U187" s="107">
        <f t="shared" si="58"/>
        <v>10000000</v>
      </c>
      <c r="V187" s="107">
        <f t="shared" si="58"/>
        <v>0</v>
      </c>
      <c r="W187" s="107">
        <f t="shared" si="58"/>
        <v>0</v>
      </c>
    </row>
    <row r="188" spans="1:23" s="83" customFormat="1" ht="15">
      <c r="A188" s="285"/>
      <c r="B188" s="103"/>
      <c r="C188" s="103"/>
      <c r="D188" s="100">
        <f>'GASTOS CONSOLIDADO'!C181</f>
        <v>849</v>
      </c>
      <c r="E188" s="100" t="str">
        <f>'GASTOS CONSOLIDADO'!D181</f>
        <v>30</v>
      </c>
      <c r="F188" s="100" t="str">
        <f>'GASTOS CONSOLIDADO'!E181</f>
        <v>001</v>
      </c>
      <c r="G188" s="100" t="str">
        <f>'GASTOS CONSOLIDADO'!F181</f>
        <v>Otras transferencias corrientes Opaci</v>
      </c>
      <c r="H188" s="5">
        <f>'GASTOS CONSOLIDADO'!G181</f>
        <v>12000000</v>
      </c>
      <c r="I188" s="5">
        <f>'GASTOS CONSOLIDADO'!H181</f>
        <v>-2000000</v>
      </c>
      <c r="J188" s="5">
        <f>'GASTOS CONSOLIDADO'!I181</f>
        <v>10000000</v>
      </c>
      <c r="K188" s="100">
        <v>0</v>
      </c>
      <c r="L188" s="100">
        <v>0</v>
      </c>
      <c r="M188" s="100">
        <v>0</v>
      </c>
      <c r="N188" s="100">
        <v>0</v>
      </c>
      <c r="O188" s="100">
        <f t="shared" si="44"/>
        <v>0</v>
      </c>
      <c r="P188" s="100">
        <v>0</v>
      </c>
      <c r="Q188" s="100">
        <v>0</v>
      </c>
      <c r="R188" s="5">
        <f>+HOJA!D80</f>
        <v>1120000</v>
      </c>
      <c r="S188" s="100"/>
      <c r="T188" s="100">
        <f t="shared" si="45"/>
        <v>1120000</v>
      </c>
      <c r="U188" s="107">
        <f>+J188</f>
        <v>10000000</v>
      </c>
      <c r="V188" s="326">
        <f>+J188-U188</f>
        <v>0</v>
      </c>
      <c r="W188" s="326">
        <v>0</v>
      </c>
    </row>
    <row r="189" spans="1:23" s="83" customFormat="1" ht="15">
      <c r="A189" s="285"/>
      <c r="B189" s="104"/>
      <c r="C189" s="104"/>
      <c r="D189" s="101"/>
      <c r="E189" s="17"/>
      <c r="F189" s="17"/>
      <c r="G189" s="104"/>
      <c r="H189" s="21"/>
      <c r="I189" s="21"/>
      <c r="J189" s="21"/>
      <c r="K189" s="21"/>
      <c r="L189" s="21"/>
      <c r="M189" s="21"/>
      <c r="N189" s="21"/>
      <c r="O189" s="21">
        <f t="shared" si="44"/>
        <v>0</v>
      </c>
      <c r="P189" s="21"/>
      <c r="Q189" s="21"/>
      <c r="R189" s="21"/>
      <c r="S189" s="21"/>
      <c r="T189" s="21">
        <f t="shared" si="45"/>
        <v>0</v>
      </c>
      <c r="U189" s="21"/>
      <c r="V189" s="21"/>
      <c r="W189" s="21"/>
    </row>
    <row r="190" spans="1:23" s="98" customFormat="1" ht="15">
      <c r="A190" s="285"/>
      <c r="B190" s="43">
        <f>'GASTOS CONSOLIDADO'!A182</f>
        <v>900</v>
      </c>
      <c r="C190" s="43"/>
      <c r="D190" s="43"/>
      <c r="E190" s="1"/>
      <c r="F190" s="1"/>
      <c r="G190" s="102" t="str">
        <f>'GASTOS CONSOLIDADO'!F182</f>
        <v>OTROS GASTOS</v>
      </c>
      <c r="H190" s="3">
        <f>+H191+H198+H204</f>
        <v>5000000</v>
      </c>
      <c r="I190" s="3">
        <f>+I191+I198+I204</f>
        <v>18145018</v>
      </c>
      <c r="J190" s="3">
        <f aca="true" t="shared" si="59" ref="J190:W190">+J191+J198+J204</f>
        <v>23145018</v>
      </c>
      <c r="K190" s="3">
        <f t="shared" si="59"/>
        <v>0</v>
      </c>
      <c r="L190" s="3">
        <f t="shared" si="59"/>
        <v>18145018</v>
      </c>
      <c r="M190" s="3">
        <f t="shared" si="59"/>
        <v>0</v>
      </c>
      <c r="N190" s="3">
        <f t="shared" si="59"/>
        <v>0</v>
      </c>
      <c r="O190" s="3">
        <f t="shared" si="44"/>
        <v>18145018</v>
      </c>
      <c r="P190" s="3">
        <f t="shared" si="59"/>
        <v>0</v>
      </c>
      <c r="Q190" s="3">
        <f t="shared" si="59"/>
        <v>0</v>
      </c>
      <c r="R190" s="3">
        <f t="shared" si="59"/>
        <v>0</v>
      </c>
      <c r="S190" s="3">
        <f t="shared" si="59"/>
        <v>0</v>
      </c>
      <c r="T190" s="3">
        <f t="shared" si="45"/>
        <v>18145018</v>
      </c>
      <c r="U190" s="3">
        <f t="shared" si="59"/>
        <v>5000000</v>
      </c>
      <c r="V190" s="3">
        <f t="shared" si="59"/>
        <v>18145018</v>
      </c>
      <c r="W190" s="3">
        <f t="shared" si="59"/>
        <v>0</v>
      </c>
    </row>
    <row r="191" spans="1:23" s="98" customFormat="1" ht="15">
      <c r="A191" s="285"/>
      <c r="B191" s="102"/>
      <c r="C191" s="102">
        <f>'GASTOS CONSOLIDADO'!B183</f>
        <v>910</v>
      </c>
      <c r="D191" s="43"/>
      <c r="E191" s="1"/>
      <c r="F191" s="1"/>
      <c r="G191" s="102" t="str">
        <f>'GASTOS CONSOLIDADO'!F183</f>
        <v>Pagos de Imp. Tasas y Gastos Judicial.</v>
      </c>
      <c r="H191" s="3">
        <f>SUM(H192:H194)</f>
        <v>5000000</v>
      </c>
      <c r="I191" s="3">
        <f aca="true" t="shared" si="60" ref="I191:V191">SUM(I192:I194)</f>
        <v>0</v>
      </c>
      <c r="J191" s="3">
        <f t="shared" si="60"/>
        <v>5000000</v>
      </c>
      <c r="K191" s="3">
        <f t="shared" si="60"/>
        <v>0</v>
      </c>
      <c r="L191" s="3">
        <f t="shared" si="60"/>
        <v>0</v>
      </c>
      <c r="M191" s="3">
        <f t="shared" si="60"/>
        <v>0</v>
      </c>
      <c r="N191" s="3">
        <f t="shared" si="60"/>
        <v>0</v>
      </c>
      <c r="O191" s="3">
        <f t="shared" si="44"/>
        <v>0</v>
      </c>
      <c r="P191" s="3">
        <f t="shared" si="60"/>
        <v>0</v>
      </c>
      <c r="Q191" s="3">
        <f t="shared" si="60"/>
        <v>0</v>
      </c>
      <c r="R191" s="3">
        <f t="shared" si="60"/>
        <v>0</v>
      </c>
      <c r="S191" s="3">
        <f t="shared" si="60"/>
        <v>0</v>
      </c>
      <c r="T191" s="3">
        <f t="shared" si="45"/>
        <v>0</v>
      </c>
      <c r="U191" s="3">
        <f t="shared" si="60"/>
        <v>5000000</v>
      </c>
      <c r="V191" s="3">
        <f t="shared" si="60"/>
        <v>0</v>
      </c>
      <c r="W191" s="3">
        <f>SUM(W192:W194)</f>
        <v>0</v>
      </c>
    </row>
    <row r="192" spans="1:23" s="98" customFormat="1" ht="15" hidden="1">
      <c r="A192" s="285"/>
      <c r="B192" s="103"/>
      <c r="C192" s="103"/>
      <c r="D192" s="100"/>
      <c r="E192" s="2"/>
      <c r="F192" s="2"/>
      <c r="G192" s="103"/>
      <c r="H192" s="5"/>
      <c r="I192" s="5"/>
      <c r="J192" s="5"/>
      <c r="K192" s="5"/>
      <c r="L192" s="5"/>
      <c r="M192" s="5"/>
      <c r="N192" s="5"/>
      <c r="O192" s="5">
        <f t="shared" si="44"/>
        <v>0</v>
      </c>
      <c r="P192" s="5"/>
      <c r="Q192" s="5"/>
      <c r="R192" s="5"/>
      <c r="S192" s="5"/>
      <c r="T192" s="5">
        <f t="shared" si="45"/>
        <v>0</v>
      </c>
      <c r="U192" s="5"/>
      <c r="V192" s="5"/>
      <c r="W192" s="5"/>
    </row>
    <row r="193" spans="1:23" s="98" customFormat="1" ht="15">
      <c r="A193" s="285"/>
      <c r="B193" s="103"/>
      <c r="C193" s="103"/>
      <c r="D193" s="100">
        <f>'GASTOS CONSOLIDADO'!C185</f>
        <v>910</v>
      </c>
      <c r="E193" s="2" t="str">
        <f>'GASTOS CONSOLIDADO'!D185</f>
        <v>30</v>
      </c>
      <c r="F193" s="2" t="str">
        <f>'GASTOS CONSOLIDADO'!E185</f>
        <v>001</v>
      </c>
      <c r="G193" s="103" t="str">
        <f>'GASTOS CONSOLIDADO'!F185</f>
        <v>Pagos de Impuestos, Tasas y Gastos Judiciales</v>
      </c>
      <c r="H193" s="5">
        <f>'GASTOS CONSOLIDADO'!G185</f>
        <v>5000000</v>
      </c>
      <c r="I193" s="106">
        <f>'GASTOS CONSOLIDADO'!H185</f>
        <v>0</v>
      </c>
      <c r="J193" s="5">
        <f>H193+I193</f>
        <v>5000000</v>
      </c>
      <c r="K193" s="5">
        <v>0</v>
      </c>
      <c r="L193" s="5">
        <v>0</v>
      </c>
      <c r="M193" s="5">
        <v>0</v>
      </c>
      <c r="N193" s="5">
        <v>0</v>
      </c>
      <c r="O193" s="5">
        <f t="shared" si="44"/>
        <v>0</v>
      </c>
      <c r="P193" s="5">
        <v>0</v>
      </c>
      <c r="Q193" s="5">
        <v>0</v>
      </c>
      <c r="R193" s="5"/>
      <c r="S193" s="5"/>
      <c r="T193" s="5">
        <f t="shared" si="45"/>
        <v>0</v>
      </c>
      <c r="U193" s="5">
        <f>J193-T193</f>
        <v>5000000</v>
      </c>
      <c r="V193" s="5">
        <f>+J193-U193</f>
        <v>0</v>
      </c>
      <c r="W193" s="5">
        <f>+T193-V193</f>
        <v>0</v>
      </c>
    </row>
    <row r="194" spans="1:23" s="83" customFormat="1" ht="15" hidden="1">
      <c r="A194" s="285"/>
      <c r="B194" s="104"/>
      <c r="C194" s="104"/>
      <c r="D194" s="101"/>
      <c r="E194" s="17"/>
      <c r="F194" s="17"/>
      <c r="G194" s="104"/>
      <c r="H194" s="21"/>
      <c r="I194" s="21"/>
      <c r="J194" s="21"/>
      <c r="K194" s="21"/>
      <c r="L194" s="21"/>
      <c r="M194" s="21"/>
      <c r="N194" s="21"/>
      <c r="O194" s="21">
        <f t="shared" si="44"/>
        <v>0</v>
      </c>
      <c r="P194" s="21"/>
      <c r="Q194" s="21"/>
      <c r="R194" s="21"/>
      <c r="S194" s="21"/>
      <c r="T194" s="21">
        <f t="shared" si="45"/>
        <v>0</v>
      </c>
      <c r="U194" s="21"/>
      <c r="V194" s="21"/>
      <c r="W194" s="21"/>
    </row>
    <row r="195" spans="1:23" s="98" customFormat="1" ht="15" hidden="1">
      <c r="A195" s="285"/>
      <c r="B195" s="102"/>
      <c r="C195" s="102">
        <f>'GASTOS CONSOLIDADO'!B187</f>
        <v>920</v>
      </c>
      <c r="D195" s="43"/>
      <c r="E195" s="1"/>
      <c r="F195" s="1"/>
      <c r="G195" s="102" t="str">
        <f>'GASTOS CONSOLIDADO'!F187</f>
        <v>Devol. de Imp. y otros Ing. no Tributario</v>
      </c>
      <c r="H195" s="3">
        <f aca="true" t="shared" si="61" ref="H195:N195">H196</f>
        <v>0</v>
      </c>
      <c r="I195" s="3">
        <f t="shared" si="61"/>
        <v>0</v>
      </c>
      <c r="J195" s="3">
        <f t="shared" si="61"/>
        <v>0</v>
      </c>
      <c r="K195" s="3">
        <f t="shared" si="61"/>
        <v>0</v>
      </c>
      <c r="L195" s="3">
        <f t="shared" si="61"/>
        <v>0</v>
      </c>
      <c r="M195" s="3">
        <f t="shared" si="61"/>
        <v>0</v>
      </c>
      <c r="N195" s="3">
        <f t="shared" si="61"/>
        <v>0</v>
      </c>
      <c r="O195" s="3">
        <f t="shared" si="44"/>
        <v>0</v>
      </c>
      <c r="P195" s="3">
        <f aca="true" t="shared" si="62" ref="P195:W195">P196</f>
        <v>0</v>
      </c>
      <c r="Q195" s="3">
        <f t="shared" si="62"/>
        <v>0</v>
      </c>
      <c r="R195" s="3"/>
      <c r="S195" s="3"/>
      <c r="T195" s="3">
        <f t="shared" si="45"/>
        <v>0</v>
      </c>
      <c r="U195" s="3">
        <f t="shared" si="62"/>
        <v>0</v>
      </c>
      <c r="V195" s="3">
        <f t="shared" si="62"/>
        <v>0</v>
      </c>
      <c r="W195" s="3">
        <f t="shared" si="62"/>
        <v>0</v>
      </c>
    </row>
    <row r="196" spans="1:23" s="98" customFormat="1" ht="15" hidden="1">
      <c r="A196" s="285"/>
      <c r="B196" s="103"/>
      <c r="C196" s="103"/>
      <c r="D196" s="100">
        <f>'GASTOS CONSOLIDADO'!C188</f>
        <v>920</v>
      </c>
      <c r="E196" s="2" t="str">
        <f>'GASTOS CONSOLIDADO'!D188</f>
        <v>30</v>
      </c>
      <c r="F196" s="2" t="str">
        <f>'GASTOS CONSOLIDADO'!E188</f>
        <v>001</v>
      </c>
      <c r="G196" s="103" t="str">
        <f>'GASTOS CONSOLIDADO'!F188</f>
        <v>Devolución de Impuestos y Otros Ingresos no Tributarios</v>
      </c>
      <c r="H196" s="5">
        <f>'GASTOS CONSOLIDADO'!G188</f>
        <v>0</v>
      </c>
      <c r="I196" s="5">
        <f>'GASTOS CONSOLIDADO'!H188</f>
        <v>0</v>
      </c>
      <c r="J196" s="5">
        <f>H196+I196</f>
        <v>0</v>
      </c>
      <c r="K196" s="5">
        <v>0</v>
      </c>
      <c r="L196" s="5">
        <v>0</v>
      </c>
      <c r="M196" s="5">
        <v>0</v>
      </c>
      <c r="N196" s="5">
        <v>0</v>
      </c>
      <c r="O196" s="5">
        <f t="shared" si="44"/>
        <v>0</v>
      </c>
      <c r="P196" s="5">
        <v>0</v>
      </c>
      <c r="Q196" s="5">
        <v>0</v>
      </c>
      <c r="R196" s="5"/>
      <c r="S196" s="5"/>
      <c r="T196" s="5">
        <f t="shared" si="45"/>
        <v>0</v>
      </c>
      <c r="U196" s="5">
        <v>0</v>
      </c>
      <c r="V196" s="5">
        <v>0</v>
      </c>
      <c r="W196" s="5">
        <v>0</v>
      </c>
    </row>
    <row r="197" spans="1:23" s="83" customFormat="1" ht="15">
      <c r="A197" s="285"/>
      <c r="B197" s="104"/>
      <c r="C197" s="104"/>
      <c r="D197" s="101"/>
      <c r="E197" s="17"/>
      <c r="F197" s="17"/>
      <c r="G197" s="104"/>
      <c r="H197" s="21"/>
      <c r="I197" s="21"/>
      <c r="J197" s="21"/>
      <c r="K197" s="21"/>
      <c r="L197" s="21"/>
      <c r="M197" s="21"/>
      <c r="N197" s="21"/>
      <c r="O197" s="21">
        <f t="shared" si="44"/>
        <v>0</v>
      </c>
      <c r="P197" s="21"/>
      <c r="Q197" s="21"/>
      <c r="R197" s="21"/>
      <c r="S197" s="21"/>
      <c r="T197" s="21">
        <f t="shared" si="45"/>
        <v>0</v>
      </c>
      <c r="U197" s="21"/>
      <c r="V197" s="21"/>
      <c r="W197" s="21"/>
    </row>
    <row r="198" spans="1:23" s="98" customFormat="1" ht="15">
      <c r="A198" s="285"/>
      <c r="B198" s="102"/>
      <c r="C198" s="102">
        <f>'GASTOS CONSOLIDADO'!B190</f>
        <v>960</v>
      </c>
      <c r="D198" s="43"/>
      <c r="E198" s="1"/>
      <c r="F198" s="1"/>
      <c r="G198" s="102" t="str">
        <f>'GASTOS CONSOLIDADO'!F190</f>
        <v>Deudas Pend.de Pago de Ejerc. Anterior</v>
      </c>
      <c r="H198" s="3">
        <f>+H200</f>
        <v>0</v>
      </c>
      <c r="I198" s="3">
        <f aca="true" t="shared" si="63" ref="I198:V198">+I200</f>
        <v>18145018</v>
      </c>
      <c r="J198" s="3">
        <f t="shared" si="63"/>
        <v>18145018</v>
      </c>
      <c r="K198" s="3">
        <f t="shared" si="63"/>
        <v>0</v>
      </c>
      <c r="L198" s="3">
        <f t="shared" si="63"/>
        <v>18145018</v>
      </c>
      <c r="M198" s="3">
        <f t="shared" si="63"/>
        <v>0</v>
      </c>
      <c r="N198" s="3">
        <f t="shared" si="63"/>
        <v>0</v>
      </c>
      <c r="O198" s="3">
        <f t="shared" si="44"/>
        <v>18145018</v>
      </c>
      <c r="P198" s="3">
        <f t="shared" si="63"/>
        <v>0</v>
      </c>
      <c r="Q198" s="3">
        <f t="shared" si="63"/>
        <v>0</v>
      </c>
      <c r="R198" s="3">
        <f t="shared" si="63"/>
        <v>0</v>
      </c>
      <c r="S198" s="3">
        <f t="shared" si="63"/>
        <v>0</v>
      </c>
      <c r="T198" s="3">
        <f t="shared" si="45"/>
        <v>18145018</v>
      </c>
      <c r="U198" s="3">
        <f t="shared" si="63"/>
        <v>0</v>
      </c>
      <c r="V198" s="3">
        <f t="shared" si="63"/>
        <v>18145018</v>
      </c>
      <c r="W198" s="3">
        <f>SUM(W199:W201)</f>
        <v>0</v>
      </c>
    </row>
    <row r="199" spans="1:23" s="98" customFormat="1" ht="15" hidden="1">
      <c r="A199" s="285"/>
      <c r="B199" s="103"/>
      <c r="C199" s="103"/>
      <c r="D199" s="100"/>
      <c r="E199" s="2"/>
      <c r="F199" s="2"/>
      <c r="G199" s="115"/>
      <c r="H199" s="106"/>
      <c r="I199" s="106"/>
      <c r="J199" s="106"/>
      <c r="K199" s="5"/>
      <c r="L199" s="5"/>
      <c r="M199" s="5"/>
      <c r="N199" s="5"/>
      <c r="O199" s="5">
        <f t="shared" si="44"/>
        <v>0</v>
      </c>
      <c r="P199" s="5"/>
      <c r="Q199" s="5"/>
      <c r="R199" s="5"/>
      <c r="S199" s="5"/>
      <c r="T199" s="5">
        <f t="shared" si="45"/>
        <v>0</v>
      </c>
      <c r="U199" s="5"/>
      <c r="V199" s="5"/>
      <c r="W199" s="5"/>
    </row>
    <row r="200" spans="1:23" s="98" customFormat="1" ht="22.5">
      <c r="A200" s="285"/>
      <c r="B200" s="103"/>
      <c r="C200" s="103"/>
      <c r="D200" s="100">
        <f>'GASTOS CONSOLIDADO'!C192</f>
        <v>960</v>
      </c>
      <c r="E200" s="2" t="str">
        <f>'GASTOS CONSOLIDADO'!D192</f>
        <v>30</v>
      </c>
      <c r="F200" s="2" t="str">
        <f>'GASTOS CONSOLIDADO'!E192</f>
        <v>001</v>
      </c>
      <c r="G200" s="115" t="str">
        <f>'GASTOS CONSOLIDADO'!F192</f>
        <v>Deudas Pendientes de Pagos de Ejercicios Anteriores</v>
      </c>
      <c r="H200" s="106">
        <f>'GASTOS CONSOLIDADO'!G192</f>
        <v>0</v>
      </c>
      <c r="I200" s="106">
        <f>'GASTOS CONSOLIDADO'!H192</f>
        <v>18145018</v>
      </c>
      <c r="J200" s="106">
        <f>H200+I200</f>
        <v>18145018</v>
      </c>
      <c r="K200" s="5">
        <v>0</v>
      </c>
      <c r="L200" s="5">
        <v>18145018</v>
      </c>
      <c r="M200" s="5">
        <v>0</v>
      </c>
      <c r="N200" s="5">
        <v>0</v>
      </c>
      <c r="O200" s="5">
        <f t="shared" si="44"/>
        <v>18145018</v>
      </c>
      <c r="P200" s="5">
        <v>0</v>
      </c>
      <c r="Q200" s="5">
        <v>0</v>
      </c>
      <c r="R200" s="5"/>
      <c r="S200" s="5"/>
      <c r="T200" s="5">
        <f t="shared" si="45"/>
        <v>18145018</v>
      </c>
      <c r="U200" s="5">
        <f>J200-T200</f>
        <v>0</v>
      </c>
      <c r="V200" s="5">
        <f>+J200-U200</f>
        <v>18145018</v>
      </c>
      <c r="W200" s="5">
        <f>+T200-V200</f>
        <v>0</v>
      </c>
    </row>
    <row r="201" spans="1:23" s="83" customFormat="1" ht="15" hidden="1">
      <c r="A201" s="285"/>
      <c r="B201" s="104"/>
      <c r="C201" s="104"/>
      <c r="D201" s="101"/>
      <c r="E201" s="17"/>
      <c r="F201" s="17"/>
      <c r="G201" s="104"/>
      <c r="H201" s="21"/>
      <c r="I201" s="21"/>
      <c r="J201" s="21"/>
      <c r="K201" s="21"/>
      <c r="L201" s="21"/>
      <c r="M201" s="21"/>
      <c r="N201" s="21"/>
      <c r="O201" s="21">
        <f t="shared" si="44"/>
        <v>0</v>
      </c>
      <c r="P201" s="21"/>
      <c r="Q201" s="21"/>
      <c r="R201" s="21"/>
      <c r="S201" s="21"/>
      <c r="T201" s="21">
        <f t="shared" si="45"/>
        <v>0</v>
      </c>
      <c r="U201" s="21"/>
      <c r="V201" s="21"/>
      <c r="W201" s="21"/>
    </row>
    <row r="202" spans="1:23" s="98" customFormat="1" ht="15" hidden="1">
      <c r="A202" s="285"/>
      <c r="B202" s="102"/>
      <c r="C202" s="102">
        <f>'GASTOS CONSOLIDADO'!B194</f>
        <v>990</v>
      </c>
      <c r="D202" s="43"/>
      <c r="E202" s="1"/>
      <c r="F202" s="1"/>
      <c r="G202" s="102" t="str">
        <f>'GASTOS CONSOLIDADO'!F194</f>
        <v>Gastos Imprevistos</v>
      </c>
      <c r="H202" s="3">
        <f aca="true" t="shared" si="64" ref="H202:N202">H203</f>
        <v>0</v>
      </c>
      <c r="I202" s="3">
        <f t="shared" si="64"/>
        <v>0</v>
      </c>
      <c r="J202" s="3">
        <f t="shared" si="64"/>
        <v>0</v>
      </c>
      <c r="K202" s="3">
        <f t="shared" si="64"/>
        <v>0</v>
      </c>
      <c r="L202" s="3">
        <f t="shared" si="64"/>
        <v>0</v>
      </c>
      <c r="M202" s="3">
        <f t="shared" si="64"/>
        <v>0</v>
      </c>
      <c r="N202" s="3">
        <f t="shared" si="64"/>
        <v>0</v>
      </c>
      <c r="O202" s="3">
        <f t="shared" si="44"/>
        <v>0</v>
      </c>
      <c r="P202" s="3">
        <f aca="true" t="shared" si="65" ref="P202:W202">P203</f>
        <v>0</v>
      </c>
      <c r="Q202" s="3">
        <f t="shared" si="65"/>
        <v>0</v>
      </c>
      <c r="R202" s="3"/>
      <c r="S202" s="3"/>
      <c r="T202" s="3">
        <f t="shared" si="45"/>
        <v>0</v>
      </c>
      <c r="U202" s="3">
        <f t="shared" si="65"/>
        <v>0</v>
      </c>
      <c r="V202" s="3">
        <f t="shared" si="65"/>
        <v>0</v>
      </c>
      <c r="W202" s="3">
        <f t="shared" si="65"/>
        <v>0</v>
      </c>
    </row>
    <row r="203" spans="1:23" s="98" customFormat="1" ht="15" hidden="1">
      <c r="A203" s="285"/>
      <c r="B203" s="103"/>
      <c r="C203" s="103"/>
      <c r="D203" s="100">
        <f>'GASTOS CONSOLIDADO'!C195</f>
        <v>990</v>
      </c>
      <c r="E203" s="2" t="str">
        <f>'GASTOS CONSOLIDADO'!D195</f>
        <v>30</v>
      </c>
      <c r="F203" s="2" t="str">
        <f>'GASTOS CONSOLIDADO'!E195</f>
        <v>001</v>
      </c>
      <c r="G203" s="103" t="str">
        <f>'GASTOS CONSOLIDADO'!F195</f>
        <v>Gastos Imprevistos, Varios</v>
      </c>
      <c r="H203" s="5">
        <f>'GASTOS CONSOLIDADO'!G195</f>
        <v>0</v>
      </c>
      <c r="I203" s="5">
        <f>'GASTOS CONSOLIDADO'!H195</f>
        <v>0</v>
      </c>
      <c r="J203" s="5">
        <f>H203+I203</f>
        <v>0</v>
      </c>
      <c r="K203" s="5">
        <v>0</v>
      </c>
      <c r="L203" s="5">
        <v>0</v>
      </c>
      <c r="M203" s="5">
        <v>0</v>
      </c>
      <c r="N203" s="5">
        <v>0</v>
      </c>
      <c r="O203" s="5">
        <f t="shared" si="44"/>
        <v>0</v>
      </c>
      <c r="P203" s="5">
        <v>0</v>
      </c>
      <c r="Q203" s="5">
        <v>0</v>
      </c>
      <c r="R203" s="5"/>
      <c r="S203" s="5"/>
      <c r="T203" s="5">
        <f t="shared" si="45"/>
        <v>0</v>
      </c>
      <c r="U203" s="5">
        <v>0</v>
      </c>
      <c r="V203" s="5">
        <v>0</v>
      </c>
      <c r="W203" s="5">
        <v>0</v>
      </c>
    </row>
    <row r="204" spans="1:23" s="328" customFormat="1" ht="15.75">
      <c r="A204" s="327"/>
      <c r="B204" s="102"/>
      <c r="C204" s="102">
        <v>990</v>
      </c>
      <c r="D204" s="43"/>
      <c r="E204" s="1"/>
      <c r="F204" s="1"/>
      <c r="G204" s="102" t="s">
        <v>537</v>
      </c>
      <c r="H204" s="3">
        <f>+H205</f>
        <v>0</v>
      </c>
      <c r="I204" s="3">
        <f aca="true" t="shared" si="66" ref="I204:W204">+I205</f>
        <v>0</v>
      </c>
      <c r="J204" s="3">
        <f t="shared" si="66"/>
        <v>0</v>
      </c>
      <c r="K204" s="3">
        <f t="shared" si="66"/>
        <v>0</v>
      </c>
      <c r="L204" s="3">
        <f t="shared" si="66"/>
        <v>0</v>
      </c>
      <c r="M204" s="3">
        <f t="shared" si="66"/>
        <v>0</v>
      </c>
      <c r="N204" s="3">
        <f t="shared" si="66"/>
        <v>0</v>
      </c>
      <c r="O204" s="3">
        <f t="shared" si="44"/>
        <v>0</v>
      </c>
      <c r="P204" s="3">
        <f t="shared" si="66"/>
        <v>0</v>
      </c>
      <c r="Q204" s="3">
        <f t="shared" si="66"/>
        <v>0</v>
      </c>
      <c r="R204" s="3">
        <f t="shared" si="66"/>
        <v>0</v>
      </c>
      <c r="S204" s="3">
        <f t="shared" si="66"/>
        <v>0</v>
      </c>
      <c r="T204" s="3">
        <f t="shared" si="45"/>
        <v>0</v>
      </c>
      <c r="U204" s="3">
        <f t="shared" si="66"/>
        <v>0</v>
      </c>
      <c r="V204" s="3">
        <f t="shared" si="66"/>
        <v>0</v>
      </c>
      <c r="W204" s="3">
        <f t="shared" si="66"/>
        <v>0</v>
      </c>
    </row>
    <row r="205" spans="1:23" s="98" customFormat="1" ht="15">
      <c r="A205" s="285"/>
      <c r="B205" s="103"/>
      <c r="C205" s="103"/>
      <c r="D205" s="100">
        <v>990</v>
      </c>
      <c r="E205" s="2" t="s">
        <v>77</v>
      </c>
      <c r="F205" s="2" t="s">
        <v>21</v>
      </c>
      <c r="G205" s="103" t="s">
        <v>538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f t="shared" si="44"/>
        <v>0</v>
      </c>
      <c r="P205" s="5">
        <v>0</v>
      </c>
      <c r="Q205" s="5">
        <v>0</v>
      </c>
      <c r="R205" s="5"/>
      <c r="S205" s="5"/>
      <c r="T205" s="5">
        <f t="shared" si="45"/>
        <v>0</v>
      </c>
      <c r="U205" s="5">
        <v>0</v>
      </c>
      <c r="V205" s="5">
        <v>0</v>
      </c>
      <c r="W205" s="5">
        <v>0</v>
      </c>
    </row>
    <row r="206" spans="1:23" s="83" customFormat="1" ht="15">
      <c r="A206" s="285"/>
      <c r="B206" s="104"/>
      <c r="C206" s="104"/>
      <c r="D206" s="101"/>
      <c r="E206" s="17"/>
      <c r="F206" s="17"/>
      <c r="G206" s="104"/>
      <c r="H206" s="21"/>
      <c r="I206" s="21"/>
      <c r="J206" s="21"/>
      <c r="K206" s="21"/>
      <c r="L206" s="21"/>
      <c r="M206" s="21"/>
      <c r="N206" s="21"/>
      <c r="O206" s="21">
        <f t="shared" si="44"/>
        <v>0</v>
      </c>
      <c r="P206" s="21"/>
      <c r="Q206" s="21"/>
      <c r="R206" s="21"/>
      <c r="S206" s="21"/>
      <c r="T206" s="21">
        <f t="shared" si="45"/>
        <v>0</v>
      </c>
      <c r="U206" s="21"/>
      <c r="V206" s="21"/>
      <c r="W206" s="21"/>
    </row>
    <row r="207" spans="1:23" s="98" customFormat="1" ht="23.25">
      <c r="A207" s="286"/>
      <c r="B207" s="43"/>
      <c r="C207" s="43"/>
      <c r="D207" s="43"/>
      <c r="E207" s="43"/>
      <c r="F207" s="43"/>
      <c r="G207" s="46" t="str">
        <f>'GASTOS CONSOLIDADO'!F197</f>
        <v>GASTOS DE CAPITAL</v>
      </c>
      <c r="H207" s="3">
        <f>H217+H236+H267</f>
        <v>100000000</v>
      </c>
      <c r="I207" s="3">
        <f aca="true" t="shared" si="67" ref="I207:W207">I217+I236+I267</f>
        <v>399333881</v>
      </c>
      <c r="J207" s="3">
        <f t="shared" si="67"/>
        <v>499333881</v>
      </c>
      <c r="K207" s="3">
        <f t="shared" si="67"/>
        <v>0</v>
      </c>
      <c r="L207" s="3">
        <f t="shared" si="67"/>
        <v>0</v>
      </c>
      <c r="M207" s="3">
        <f t="shared" si="67"/>
        <v>0</v>
      </c>
      <c r="N207" s="3">
        <f t="shared" si="67"/>
        <v>0</v>
      </c>
      <c r="O207" s="3">
        <f t="shared" si="44"/>
        <v>0</v>
      </c>
      <c r="P207" s="3">
        <f t="shared" si="67"/>
        <v>0</v>
      </c>
      <c r="Q207" s="3">
        <f t="shared" si="67"/>
        <v>0</v>
      </c>
      <c r="R207" s="3">
        <f t="shared" si="67"/>
        <v>0</v>
      </c>
      <c r="S207" s="3">
        <f t="shared" si="67"/>
        <v>0</v>
      </c>
      <c r="T207" s="3">
        <f t="shared" si="45"/>
        <v>0</v>
      </c>
      <c r="U207" s="3">
        <f t="shared" si="67"/>
        <v>499333881</v>
      </c>
      <c r="V207" s="3">
        <f t="shared" si="67"/>
        <v>0</v>
      </c>
      <c r="W207" s="3">
        <f t="shared" si="67"/>
        <v>0</v>
      </c>
    </row>
    <row r="208" spans="1:23" s="98" customFormat="1" ht="15" hidden="1">
      <c r="A208" s="285"/>
      <c r="B208" s="43">
        <f>'GASTOS CONSOLIDADO'!A198</f>
        <v>400</v>
      </c>
      <c r="C208" s="43"/>
      <c r="D208" s="43"/>
      <c r="E208" s="1"/>
      <c r="F208" s="1"/>
      <c r="G208" s="102" t="str">
        <f>'GASTOS CONSOLIDADO'!F198</f>
        <v>BIENES DE CAMBIO</v>
      </c>
      <c r="H208" s="3">
        <f>H209+H213</f>
        <v>0</v>
      </c>
      <c r="I208" s="3">
        <f aca="true" t="shared" si="68" ref="I208:W208">I209+I213</f>
        <v>0</v>
      </c>
      <c r="J208" s="3">
        <f t="shared" si="68"/>
        <v>0</v>
      </c>
      <c r="K208" s="3">
        <f t="shared" si="68"/>
        <v>0</v>
      </c>
      <c r="L208" s="3">
        <f t="shared" si="68"/>
        <v>0</v>
      </c>
      <c r="M208" s="3">
        <f t="shared" si="68"/>
        <v>0</v>
      </c>
      <c r="N208" s="3">
        <f t="shared" si="68"/>
        <v>0</v>
      </c>
      <c r="O208" s="3">
        <f t="shared" si="44"/>
        <v>0</v>
      </c>
      <c r="P208" s="3">
        <f t="shared" si="68"/>
        <v>0</v>
      </c>
      <c r="Q208" s="3">
        <f t="shared" si="68"/>
        <v>0</v>
      </c>
      <c r="R208" s="3">
        <f t="shared" si="68"/>
        <v>0</v>
      </c>
      <c r="S208" s="3">
        <f t="shared" si="68"/>
        <v>0</v>
      </c>
      <c r="T208" s="3">
        <f t="shared" si="45"/>
        <v>0</v>
      </c>
      <c r="U208" s="3">
        <f t="shared" si="68"/>
        <v>0</v>
      </c>
      <c r="V208" s="3">
        <f t="shared" si="68"/>
        <v>0</v>
      </c>
      <c r="W208" s="3">
        <f t="shared" si="68"/>
        <v>0</v>
      </c>
    </row>
    <row r="209" spans="1:23" s="98" customFormat="1" ht="15" hidden="1">
      <c r="A209" s="285"/>
      <c r="B209" s="102"/>
      <c r="C209" s="102">
        <f>'GASTOS CONSOLIDADO'!B199</f>
        <v>410</v>
      </c>
      <c r="D209" s="43"/>
      <c r="E209" s="1"/>
      <c r="F209" s="1"/>
      <c r="G209" s="102" t="str">
        <f>'GASTOS CONSOLIDADO'!F199</f>
        <v>Bienes e Insumos del Sector Agropecuario y Forestal</v>
      </c>
      <c r="H209" s="3">
        <f>SUM(H210:H212)</f>
        <v>0</v>
      </c>
      <c r="I209" s="3">
        <f aca="true" t="shared" si="69" ref="I209:W209">SUM(I210:I212)</f>
        <v>0</v>
      </c>
      <c r="J209" s="3">
        <f t="shared" si="69"/>
        <v>0</v>
      </c>
      <c r="K209" s="3">
        <f t="shared" si="69"/>
        <v>0</v>
      </c>
      <c r="L209" s="3">
        <f t="shared" si="69"/>
        <v>0</v>
      </c>
      <c r="M209" s="3">
        <f t="shared" si="69"/>
        <v>0</v>
      </c>
      <c r="N209" s="3">
        <f t="shared" si="69"/>
        <v>0</v>
      </c>
      <c r="O209" s="3">
        <f t="shared" si="44"/>
        <v>0</v>
      </c>
      <c r="P209" s="3">
        <f t="shared" si="69"/>
        <v>0</v>
      </c>
      <c r="Q209" s="3">
        <f t="shared" si="69"/>
        <v>0</v>
      </c>
      <c r="R209" s="3">
        <f t="shared" si="69"/>
        <v>0</v>
      </c>
      <c r="S209" s="3">
        <f t="shared" si="69"/>
        <v>0</v>
      </c>
      <c r="T209" s="3">
        <f t="shared" si="45"/>
        <v>0</v>
      </c>
      <c r="U209" s="3">
        <f t="shared" si="69"/>
        <v>0</v>
      </c>
      <c r="V209" s="3">
        <f t="shared" si="69"/>
        <v>0</v>
      </c>
      <c r="W209" s="3">
        <f t="shared" si="69"/>
        <v>0</v>
      </c>
    </row>
    <row r="210" spans="1:23" s="98" customFormat="1" ht="15" hidden="1">
      <c r="A210" s="285"/>
      <c r="B210" s="103"/>
      <c r="C210" s="103"/>
      <c r="D210" s="100"/>
      <c r="E210" s="2"/>
      <c r="F210" s="2"/>
      <c r="G210" s="103"/>
      <c r="H210" s="5"/>
      <c r="I210" s="5"/>
      <c r="J210" s="5"/>
      <c r="K210" s="5"/>
      <c r="L210" s="5"/>
      <c r="M210" s="5"/>
      <c r="N210" s="5"/>
      <c r="O210" s="5">
        <f t="shared" si="44"/>
        <v>0</v>
      </c>
      <c r="P210" s="5"/>
      <c r="Q210" s="5"/>
      <c r="R210" s="5"/>
      <c r="S210" s="5"/>
      <c r="T210" s="5">
        <f t="shared" si="45"/>
        <v>0</v>
      </c>
      <c r="U210" s="5"/>
      <c r="V210" s="5"/>
      <c r="W210" s="5"/>
    </row>
    <row r="211" spans="1:23" s="98" customFormat="1" ht="15" hidden="1">
      <c r="A211" s="285"/>
      <c r="B211" s="103"/>
      <c r="C211" s="103"/>
      <c r="D211" s="100">
        <f>'GASTOS CONSOLIDADO'!C201</f>
        <v>410</v>
      </c>
      <c r="E211" s="2" t="str">
        <f>'GASTOS CONSOLIDADO'!D201</f>
        <v>30</v>
      </c>
      <c r="F211" s="2" t="str">
        <f>'GASTOS CONSOLIDADO'!E201</f>
        <v>001</v>
      </c>
      <c r="G211" s="103" t="str">
        <f>'GASTOS CONSOLIDADO'!F201</f>
        <v>Bienes e Insumos del Sector Agropecuario y Forestal</v>
      </c>
      <c r="H211" s="5">
        <f>'GASTOS CONSOLIDADO'!G201</f>
        <v>0</v>
      </c>
      <c r="I211" s="5">
        <f>'GASTOS CONSOLIDADO'!H201</f>
        <v>0</v>
      </c>
      <c r="J211" s="5">
        <f>'GASTOS CONSOLIDADO'!I201</f>
        <v>0</v>
      </c>
      <c r="K211" s="5">
        <f>'GASTOS CONSOLIDADO'!J201</f>
        <v>0</v>
      </c>
      <c r="L211" s="5">
        <f>'GASTOS CONSOLIDADO'!K201</f>
        <v>0</v>
      </c>
      <c r="M211" s="5">
        <f>'GASTOS CONSOLIDADO'!L201</f>
        <v>0</v>
      </c>
      <c r="N211" s="5">
        <f>'GASTOS CONSOLIDADO'!M201</f>
        <v>0</v>
      </c>
      <c r="O211" s="5">
        <f t="shared" si="44"/>
        <v>0</v>
      </c>
      <c r="P211" s="5">
        <f>'GASTOS CONSOLIDADO'!O201</f>
        <v>0</v>
      </c>
      <c r="Q211" s="5">
        <f>'GASTOS CONSOLIDADO'!P201</f>
        <v>0</v>
      </c>
      <c r="R211" s="5">
        <f>'GASTOS CONSOLIDADO'!S201</f>
        <v>0</v>
      </c>
      <c r="S211" s="5">
        <f>'GASTOS CONSOLIDADO'!T201</f>
        <v>0</v>
      </c>
      <c r="T211" s="5">
        <f t="shared" si="45"/>
        <v>0</v>
      </c>
      <c r="U211" s="5">
        <f>'GASTOS CONSOLIDADO'!V201</f>
        <v>0</v>
      </c>
      <c r="V211" s="5">
        <f>'GASTOS CONSOLIDADO'!W201</f>
        <v>0</v>
      </c>
      <c r="W211" s="5">
        <f>'GASTOS CONSOLIDADO'!X201</f>
        <v>0</v>
      </c>
    </row>
    <row r="212" spans="1:23" s="98" customFormat="1" ht="15" hidden="1">
      <c r="A212" s="285"/>
      <c r="B212" s="43"/>
      <c r="C212" s="43"/>
      <c r="D212" s="43"/>
      <c r="E212" s="43"/>
      <c r="F212" s="43"/>
      <c r="G212" s="41"/>
      <c r="H212" s="3"/>
      <c r="I212" s="3"/>
      <c r="J212" s="3"/>
      <c r="K212" s="3"/>
      <c r="L212" s="3"/>
      <c r="M212" s="3"/>
      <c r="N212" s="3"/>
      <c r="O212" s="3">
        <f aca="true" t="shared" si="70" ref="O212:O275">SUM(K212:N212)</f>
        <v>0</v>
      </c>
      <c r="P212" s="3"/>
      <c r="Q212" s="3"/>
      <c r="R212" s="3"/>
      <c r="S212" s="3"/>
      <c r="T212" s="3">
        <f aca="true" t="shared" si="71" ref="T212:T275">SUM(O212:S212)</f>
        <v>0</v>
      </c>
      <c r="U212" s="3"/>
      <c r="V212" s="3"/>
      <c r="W212" s="3"/>
    </row>
    <row r="213" spans="1:23" s="98" customFormat="1" ht="15" hidden="1">
      <c r="A213" s="285"/>
      <c r="B213" s="102"/>
      <c r="C213" s="102">
        <f>'GASTOS CONSOLIDADO'!B203</f>
        <v>420</v>
      </c>
      <c r="D213" s="43"/>
      <c r="E213" s="1"/>
      <c r="F213" s="1"/>
      <c r="G213" s="102" t="str">
        <f>'GASTOS CONSOLIDADO'!F203</f>
        <v>Minerales</v>
      </c>
      <c r="H213" s="3">
        <f>SUM(H214:H216)</f>
        <v>0</v>
      </c>
      <c r="I213" s="3">
        <f aca="true" t="shared" si="72" ref="I213:W213">SUM(I214:I216)</f>
        <v>0</v>
      </c>
      <c r="J213" s="3">
        <f t="shared" si="72"/>
        <v>0</v>
      </c>
      <c r="K213" s="3">
        <f t="shared" si="72"/>
        <v>0</v>
      </c>
      <c r="L213" s="3">
        <f t="shared" si="72"/>
        <v>0</v>
      </c>
      <c r="M213" s="3">
        <f t="shared" si="72"/>
        <v>0</v>
      </c>
      <c r="N213" s="3">
        <f t="shared" si="72"/>
        <v>0</v>
      </c>
      <c r="O213" s="3">
        <f t="shared" si="70"/>
        <v>0</v>
      </c>
      <c r="P213" s="3">
        <f t="shared" si="72"/>
        <v>0</v>
      </c>
      <c r="Q213" s="3">
        <f t="shared" si="72"/>
        <v>0</v>
      </c>
      <c r="R213" s="3">
        <f t="shared" si="72"/>
        <v>0</v>
      </c>
      <c r="S213" s="3">
        <f t="shared" si="72"/>
        <v>0</v>
      </c>
      <c r="T213" s="3">
        <f t="shared" si="71"/>
        <v>0</v>
      </c>
      <c r="U213" s="3">
        <f t="shared" si="72"/>
        <v>0</v>
      </c>
      <c r="V213" s="3">
        <f t="shared" si="72"/>
        <v>0</v>
      </c>
      <c r="W213" s="3">
        <f t="shared" si="72"/>
        <v>0</v>
      </c>
    </row>
    <row r="214" spans="1:23" s="98" customFormat="1" ht="15" hidden="1">
      <c r="A214" s="285"/>
      <c r="B214" s="103"/>
      <c r="C214" s="103"/>
      <c r="D214" s="100"/>
      <c r="E214" s="2"/>
      <c r="F214" s="2"/>
      <c r="G214" s="103"/>
      <c r="H214" s="5"/>
      <c r="I214" s="5"/>
      <c r="J214" s="5"/>
      <c r="K214" s="5"/>
      <c r="L214" s="5"/>
      <c r="M214" s="5"/>
      <c r="N214" s="5"/>
      <c r="O214" s="5">
        <f t="shared" si="70"/>
        <v>0</v>
      </c>
      <c r="P214" s="5"/>
      <c r="Q214" s="5"/>
      <c r="R214" s="5"/>
      <c r="S214" s="5"/>
      <c r="T214" s="5">
        <f t="shared" si="71"/>
        <v>0</v>
      </c>
      <c r="U214" s="5"/>
      <c r="V214" s="5"/>
      <c r="W214" s="5"/>
    </row>
    <row r="215" spans="1:23" s="98" customFormat="1" ht="15" hidden="1">
      <c r="A215" s="285"/>
      <c r="B215" s="103"/>
      <c r="C215" s="103"/>
      <c r="D215" s="100">
        <f>'GASTOS CONSOLIDADO'!C205</f>
        <v>420</v>
      </c>
      <c r="E215" s="2" t="str">
        <f>'GASTOS CONSOLIDADO'!D205</f>
        <v>30</v>
      </c>
      <c r="F215" s="2" t="str">
        <f>'GASTOS CONSOLIDADO'!E205</f>
        <v>001</v>
      </c>
      <c r="G215" s="103" t="str">
        <f>'GASTOS CONSOLIDADO'!F205</f>
        <v>Minerales</v>
      </c>
      <c r="H215" s="5">
        <f>'GASTOS CONSOLIDADO'!G205</f>
        <v>0</v>
      </c>
      <c r="I215" s="5">
        <f>'GASTOS CONSOLIDADO'!H205</f>
        <v>0</v>
      </c>
      <c r="J215" s="5">
        <f>'GASTOS CONSOLIDADO'!I205</f>
        <v>0</v>
      </c>
      <c r="K215" s="5">
        <f>'GASTOS CONSOLIDADO'!J205</f>
        <v>0</v>
      </c>
      <c r="L215" s="5">
        <f>'GASTOS CONSOLIDADO'!K205</f>
        <v>0</v>
      </c>
      <c r="M215" s="5">
        <f>'GASTOS CONSOLIDADO'!L205</f>
        <v>0</v>
      </c>
      <c r="N215" s="5">
        <f>'GASTOS CONSOLIDADO'!M205</f>
        <v>0</v>
      </c>
      <c r="O215" s="5">
        <f t="shared" si="70"/>
        <v>0</v>
      </c>
      <c r="P215" s="5">
        <f>'GASTOS CONSOLIDADO'!O205</f>
        <v>0</v>
      </c>
      <c r="Q215" s="5">
        <f>'GASTOS CONSOLIDADO'!P205</f>
        <v>0</v>
      </c>
      <c r="R215" s="5">
        <f>'GASTOS CONSOLIDADO'!S205</f>
        <v>0</v>
      </c>
      <c r="S215" s="5">
        <f>'GASTOS CONSOLIDADO'!T205</f>
        <v>0</v>
      </c>
      <c r="T215" s="5">
        <f t="shared" si="71"/>
        <v>0</v>
      </c>
      <c r="U215" s="5">
        <f>'GASTOS CONSOLIDADO'!V205</f>
        <v>0</v>
      </c>
      <c r="V215" s="5">
        <f>'GASTOS CONSOLIDADO'!W205</f>
        <v>0</v>
      </c>
      <c r="W215" s="5">
        <f>'GASTOS CONSOLIDADO'!X205</f>
        <v>0</v>
      </c>
    </row>
    <row r="216" spans="1:23" s="98" customFormat="1" ht="15" hidden="1">
      <c r="A216" s="285"/>
      <c r="B216" s="43"/>
      <c r="C216" s="43"/>
      <c r="D216" s="43"/>
      <c r="E216" s="43"/>
      <c r="F216" s="43"/>
      <c r="G216" s="41"/>
      <c r="H216" s="3"/>
      <c r="I216" s="3"/>
      <c r="J216" s="3"/>
      <c r="K216" s="3"/>
      <c r="L216" s="3"/>
      <c r="M216" s="3"/>
      <c r="N216" s="3"/>
      <c r="O216" s="3">
        <f t="shared" si="70"/>
        <v>0</v>
      </c>
      <c r="P216" s="3"/>
      <c r="Q216" s="3"/>
      <c r="R216" s="3"/>
      <c r="S216" s="3"/>
      <c r="T216" s="3">
        <f t="shared" si="71"/>
        <v>0</v>
      </c>
      <c r="U216" s="3"/>
      <c r="V216" s="3"/>
      <c r="W216" s="3"/>
    </row>
    <row r="217" spans="1:23" s="98" customFormat="1" ht="18">
      <c r="A217" s="99"/>
      <c r="B217" s="43">
        <f>'GASTOS CONSOLIDADO'!A207</f>
        <v>500</v>
      </c>
      <c r="C217" s="43"/>
      <c r="D217" s="43"/>
      <c r="E217" s="1"/>
      <c r="F217" s="1"/>
      <c r="G217" s="102" t="str">
        <f>'GASTOS CONSOLIDADO'!F207</f>
        <v>INVERSIÓN FÍSICA</v>
      </c>
      <c r="H217" s="3">
        <f>+H222</f>
        <v>80000000</v>
      </c>
      <c r="I217" s="3">
        <f aca="true" t="shared" si="73" ref="I217:W217">+I222</f>
        <v>399333881</v>
      </c>
      <c r="J217" s="3">
        <f t="shared" si="73"/>
        <v>479333881</v>
      </c>
      <c r="K217" s="3">
        <f t="shared" si="73"/>
        <v>0</v>
      </c>
      <c r="L217" s="3">
        <f t="shared" si="73"/>
        <v>0</v>
      </c>
      <c r="M217" s="3">
        <f t="shared" si="73"/>
        <v>0</v>
      </c>
      <c r="N217" s="3">
        <f t="shared" si="73"/>
        <v>0</v>
      </c>
      <c r="O217" s="3">
        <f t="shared" si="70"/>
        <v>0</v>
      </c>
      <c r="P217" s="3">
        <f t="shared" si="73"/>
        <v>0</v>
      </c>
      <c r="Q217" s="3">
        <f t="shared" si="73"/>
        <v>0</v>
      </c>
      <c r="R217" s="3">
        <f t="shared" si="73"/>
        <v>0</v>
      </c>
      <c r="S217" s="3">
        <f t="shared" si="73"/>
        <v>0</v>
      </c>
      <c r="T217" s="3">
        <f t="shared" si="71"/>
        <v>0</v>
      </c>
      <c r="U217" s="3">
        <f t="shared" si="73"/>
        <v>479333881</v>
      </c>
      <c r="V217" s="3">
        <f t="shared" si="73"/>
        <v>0</v>
      </c>
      <c r="W217" s="3">
        <f t="shared" si="73"/>
        <v>0</v>
      </c>
    </row>
    <row r="218" spans="1:23" s="98" customFormat="1" ht="15" hidden="1">
      <c r="A218" s="285"/>
      <c r="B218" s="102"/>
      <c r="C218" s="102">
        <f>'GASTOS CONSOLIDADO'!B208</f>
        <v>510</v>
      </c>
      <c r="D218" s="43"/>
      <c r="E218" s="1"/>
      <c r="F218" s="1"/>
      <c r="G218" s="102" t="str">
        <f>'GASTOS CONSOLIDADO'!F208</f>
        <v>Adquisición de Inmuebles</v>
      </c>
      <c r="H218" s="3">
        <f>SUM(H219:H221)</f>
        <v>0</v>
      </c>
      <c r="I218" s="3">
        <f aca="true" t="shared" si="74" ref="I218:W218">SUM(I219:I221)</f>
        <v>0</v>
      </c>
      <c r="J218" s="3">
        <f t="shared" si="74"/>
        <v>0</v>
      </c>
      <c r="K218" s="3">
        <f t="shared" si="74"/>
        <v>0</v>
      </c>
      <c r="L218" s="3">
        <f t="shared" si="74"/>
        <v>0</v>
      </c>
      <c r="M218" s="3">
        <f t="shared" si="74"/>
        <v>0</v>
      </c>
      <c r="N218" s="3">
        <f t="shared" si="74"/>
        <v>0</v>
      </c>
      <c r="O218" s="3">
        <f t="shared" si="70"/>
        <v>0</v>
      </c>
      <c r="P218" s="3">
        <f t="shared" si="74"/>
        <v>0</v>
      </c>
      <c r="Q218" s="3">
        <f t="shared" si="74"/>
        <v>0</v>
      </c>
      <c r="R218" s="3">
        <f t="shared" si="74"/>
        <v>0</v>
      </c>
      <c r="S218" s="3">
        <f t="shared" si="74"/>
        <v>0</v>
      </c>
      <c r="T218" s="3">
        <f t="shared" si="71"/>
        <v>0</v>
      </c>
      <c r="U218" s="3">
        <f t="shared" si="74"/>
        <v>0</v>
      </c>
      <c r="V218" s="3">
        <f t="shared" si="74"/>
        <v>0</v>
      </c>
      <c r="W218" s="3">
        <f t="shared" si="74"/>
        <v>0</v>
      </c>
    </row>
    <row r="219" spans="1:23" s="98" customFormat="1" ht="15" hidden="1">
      <c r="A219" s="285"/>
      <c r="B219" s="103"/>
      <c r="C219" s="103"/>
      <c r="D219" s="100"/>
      <c r="E219" s="2"/>
      <c r="F219" s="2"/>
      <c r="G219" s="103"/>
      <c r="H219" s="5"/>
      <c r="I219" s="5"/>
      <c r="J219" s="5"/>
      <c r="K219" s="5"/>
      <c r="L219" s="5"/>
      <c r="M219" s="5"/>
      <c r="N219" s="5"/>
      <c r="O219" s="5">
        <f t="shared" si="70"/>
        <v>0</v>
      </c>
      <c r="P219" s="5"/>
      <c r="Q219" s="5"/>
      <c r="R219" s="5"/>
      <c r="S219" s="5"/>
      <c r="T219" s="5">
        <f t="shared" si="71"/>
        <v>0</v>
      </c>
      <c r="U219" s="5"/>
      <c r="V219" s="5"/>
      <c r="W219" s="5"/>
    </row>
    <row r="220" spans="1:23" s="98" customFormat="1" ht="15" hidden="1">
      <c r="A220" s="285"/>
      <c r="B220" s="103"/>
      <c r="C220" s="103"/>
      <c r="D220" s="100">
        <f>'GASTOS CONSOLIDADO'!C210</f>
        <v>510</v>
      </c>
      <c r="E220" s="2" t="str">
        <f>'GASTOS CONSOLIDADO'!D210</f>
        <v>30</v>
      </c>
      <c r="F220" s="2" t="str">
        <f>'GASTOS CONSOLIDADO'!E210</f>
        <v>001</v>
      </c>
      <c r="G220" s="103" t="str">
        <f>'GASTOS CONSOLIDADO'!F210</f>
        <v>Adquisición de Inmuebles</v>
      </c>
      <c r="H220" s="5">
        <f>'GASTOS CONSOLIDADO'!G210</f>
        <v>0</v>
      </c>
      <c r="I220" s="5">
        <f>'GASTOS CONSOLIDADO'!H210</f>
        <v>0</v>
      </c>
      <c r="J220" s="5">
        <f>'GASTOS CONSOLIDADO'!I210</f>
        <v>0</v>
      </c>
      <c r="K220" s="5">
        <f>'GASTOS CONSOLIDADO'!J210</f>
        <v>0</v>
      </c>
      <c r="L220" s="5">
        <f>'GASTOS CONSOLIDADO'!K210</f>
        <v>0</v>
      </c>
      <c r="M220" s="5">
        <f>'GASTOS CONSOLIDADO'!L210</f>
        <v>0</v>
      </c>
      <c r="N220" s="5">
        <f>'GASTOS CONSOLIDADO'!M210</f>
        <v>0</v>
      </c>
      <c r="O220" s="5">
        <f t="shared" si="70"/>
        <v>0</v>
      </c>
      <c r="P220" s="5">
        <f>'GASTOS CONSOLIDADO'!O210</f>
        <v>0</v>
      </c>
      <c r="Q220" s="5">
        <f>'GASTOS CONSOLIDADO'!P210</f>
        <v>0</v>
      </c>
      <c r="R220" s="5">
        <f>'GASTOS CONSOLIDADO'!S210</f>
        <v>0</v>
      </c>
      <c r="S220" s="5">
        <f>'GASTOS CONSOLIDADO'!T210</f>
        <v>0</v>
      </c>
      <c r="T220" s="5">
        <f t="shared" si="71"/>
        <v>0</v>
      </c>
      <c r="U220" s="5">
        <f>'GASTOS CONSOLIDADO'!V210</f>
        <v>0</v>
      </c>
      <c r="V220" s="5">
        <f>'GASTOS CONSOLIDADO'!W210</f>
        <v>0</v>
      </c>
      <c r="W220" s="5">
        <f>'GASTOS CONSOLIDADO'!X210</f>
        <v>0</v>
      </c>
    </row>
    <row r="221" spans="1:23" s="83" customFormat="1" ht="15" hidden="1">
      <c r="A221" s="285"/>
      <c r="B221" s="116"/>
      <c r="C221" s="116"/>
      <c r="D221" s="117"/>
      <c r="E221" s="16"/>
      <c r="F221" s="16"/>
      <c r="G221" s="116"/>
      <c r="H221" s="118"/>
      <c r="I221" s="118"/>
      <c r="J221" s="118"/>
      <c r="K221" s="118"/>
      <c r="L221" s="118"/>
      <c r="M221" s="118"/>
      <c r="N221" s="118"/>
      <c r="O221" s="118">
        <f t="shared" si="70"/>
        <v>0</v>
      </c>
      <c r="P221" s="118"/>
      <c r="Q221" s="118"/>
      <c r="R221" s="118"/>
      <c r="S221" s="118"/>
      <c r="T221" s="118">
        <f t="shared" si="71"/>
        <v>0</v>
      </c>
      <c r="U221" s="118"/>
      <c r="V221" s="118"/>
      <c r="W221" s="118"/>
    </row>
    <row r="222" spans="1:23" s="98" customFormat="1" ht="15">
      <c r="A222" s="285"/>
      <c r="B222" s="102"/>
      <c r="C222" s="102">
        <f>'GASTOS CONSOLIDADO'!B212</f>
        <v>520</v>
      </c>
      <c r="D222" s="43"/>
      <c r="E222" s="1"/>
      <c r="F222" s="1"/>
      <c r="G222" s="102" t="str">
        <f>'GASTOS CONSOLIDADO'!F212</f>
        <v>Construcciones</v>
      </c>
      <c r="H222" s="3">
        <f>+H224+H226</f>
        <v>80000000</v>
      </c>
      <c r="I222" s="3">
        <f aca="true" t="shared" si="75" ref="I222:W222">+I224+I226</f>
        <v>399333881</v>
      </c>
      <c r="J222" s="3">
        <f t="shared" si="75"/>
        <v>479333881</v>
      </c>
      <c r="K222" s="3">
        <f t="shared" si="75"/>
        <v>0</v>
      </c>
      <c r="L222" s="3">
        <f t="shared" si="75"/>
        <v>0</v>
      </c>
      <c r="M222" s="3">
        <f t="shared" si="75"/>
        <v>0</v>
      </c>
      <c r="N222" s="3">
        <f t="shared" si="75"/>
        <v>0</v>
      </c>
      <c r="O222" s="3">
        <f t="shared" si="70"/>
        <v>0</v>
      </c>
      <c r="P222" s="3">
        <f t="shared" si="75"/>
        <v>0</v>
      </c>
      <c r="Q222" s="3">
        <f t="shared" si="75"/>
        <v>0</v>
      </c>
      <c r="R222" s="3">
        <f t="shared" si="75"/>
        <v>0</v>
      </c>
      <c r="S222" s="3">
        <f t="shared" si="75"/>
        <v>0</v>
      </c>
      <c r="T222" s="3">
        <f t="shared" si="71"/>
        <v>0</v>
      </c>
      <c r="U222" s="3">
        <f t="shared" si="75"/>
        <v>479333881</v>
      </c>
      <c r="V222" s="3">
        <f t="shared" si="75"/>
        <v>0</v>
      </c>
      <c r="W222" s="3">
        <f t="shared" si="75"/>
        <v>0</v>
      </c>
    </row>
    <row r="223" spans="1:23" s="98" customFormat="1" ht="15" hidden="1">
      <c r="A223" s="285"/>
      <c r="B223" s="103"/>
      <c r="C223" s="103"/>
      <c r="D223" s="100"/>
      <c r="E223" s="2"/>
      <c r="F223" s="2"/>
      <c r="G223" s="103"/>
      <c r="H223" s="5"/>
      <c r="I223" s="5"/>
      <c r="J223" s="5"/>
      <c r="K223" s="5"/>
      <c r="L223" s="5"/>
      <c r="M223" s="5"/>
      <c r="N223" s="5"/>
      <c r="O223" s="5">
        <f t="shared" si="70"/>
        <v>0</v>
      </c>
      <c r="P223" s="5"/>
      <c r="Q223" s="5"/>
      <c r="R223" s="5"/>
      <c r="S223" s="5"/>
      <c r="T223" s="5">
        <f t="shared" si="71"/>
        <v>0</v>
      </c>
      <c r="U223" s="5"/>
      <c r="V223" s="5"/>
      <c r="W223" s="5"/>
    </row>
    <row r="224" spans="1:23" s="98" customFormat="1" ht="15">
      <c r="A224" s="285"/>
      <c r="B224" s="103"/>
      <c r="C224" s="103"/>
      <c r="D224" s="100">
        <f>'GASTOS CONSOLIDADO'!C214</f>
        <v>520</v>
      </c>
      <c r="E224" s="2" t="str">
        <f>'GASTOS CONSOLIDADO'!D214</f>
        <v>30</v>
      </c>
      <c r="F224" s="2" t="str">
        <f>'GASTOS CONSOLIDADO'!E214</f>
        <v>007</v>
      </c>
      <c r="G224" s="103" t="str">
        <f>'GASTOS CONSOLIDADO'!F214</f>
        <v>Construcciones</v>
      </c>
      <c r="H224" s="5">
        <f>'GASTOS CONSOLIDADO'!G214</f>
        <v>0</v>
      </c>
      <c r="I224" s="5">
        <f>'GASTOS CONSOLIDADO'!H214</f>
        <v>50500000</v>
      </c>
      <c r="J224" s="5">
        <f>H224+I224</f>
        <v>50500000</v>
      </c>
      <c r="K224" s="5">
        <v>0</v>
      </c>
      <c r="L224" s="5">
        <v>0</v>
      </c>
      <c r="M224" s="5">
        <v>0</v>
      </c>
      <c r="N224" s="5">
        <v>0</v>
      </c>
      <c r="O224" s="5">
        <f t="shared" si="70"/>
        <v>0</v>
      </c>
      <c r="P224" s="5">
        <v>0</v>
      </c>
      <c r="Q224" s="5">
        <v>0</v>
      </c>
      <c r="R224" s="5"/>
      <c r="S224" s="5"/>
      <c r="T224" s="5">
        <f t="shared" si="71"/>
        <v>0</v>
      </c>
      <c r="U224" s="5">
        <f>J224-T224</f>
        <v>50500000</v>
      </c>
      <c r="V224" s="5">
        <f>+J224-U224</f>
        <v>0</v>
      </c>
      <c r="W224" s="5">
        <f>+T224-V224</f>
        <v>0</v>
      </c>
    </row>
    <row r="225" spans="1:23" s="98" customFormat="1" ht="15" hidden="1">
      <c r="A225" s="285"/>
      <c r="B225" s="103"/>
      <c r="C225" s="103"/>
      <c r="D225" s="100"/>
      <c r="E225" s="2"/>
      <c r="F225" s="2"/>
      <c r="G225" s="103"/>
      <c r="H225" s="5"/>
      <c r="I225" s="5"/>
      <c r="J225" s="5"/>
      <c r="K225" s="5"/>
      <c r="L225" s="5"/>
      <c r="M225" s="5"/>
      <c r="N225" s="5"/>
      <c r="O225" s="5">
        <f t="shared" si="70"/>
        <v>0</v>
      </c>
      <c r="P225" s="5"/>
      <c r="Q225" s="5"/>
      <c r="R225" s="5"/>
      <c r="S225" s="5"/>
      <c r="T225" s="5">
        <f t="shared" si="71"/>
        <v>0</v>
      </c>
      <c r="U225" s="5"/>
      <c r="V225" s="5">
        <f>+J225-U225</f>
        <v>0</v>
      </c>
      <c r="W225" s="5">
        <f>+T225-V225</f>
        <v>0</v>
      </c>
    </row>
    <row r="226" spans="1:23" s="98" customFormat="1" ht="15">
      <c r="A226" s="285"/>
      <c r="B226" s="103"/>
      <c r="C226" s="103"/>
      <c r="D226" s="100">
        <f>'GASTOS CONSOLIDADO'!C216</f>
        <v>520</v>
      </c>
      <c r="E226" s="2" t="str">
        <f>'GASTOS CONSOLIDADO'!D216</f>
        <v>30</v>
      </c>
      <c r="F226" s="2" t="str">
        <f>'GASTOS CONSOLIDADO'!E216</f>
        <v>001</v>
      </c>
      <c r="G226" s="103" t="str">
        <f>'GASTOS CONSOLIDADO'!F216</f>
        <v>Construcciones</v>
      </c>
      <c r="H226" s="5">
        <f>'GASTOS CONSOLIDADO'!G216</f>
        <v>80000000</v>
      </c>
      <c r="I226" s="5">
        <f>'GASTOS CONSOLIDADO'!H216</f>
        <v>348833881</v>
      </c>
      <c r="J226" s="5">
        <f>H226+I226</f>
        <v>428833881</v>
      </c>
      <c r="K226" s="5">
        <v>0</v>
      </c>
      <c r="L226" s="5">
        <v>0</v>
      </c>
      <c r="M226" s="5">
        <v>0</v>
      </c>
      <c r="N226" s="5">
        <v>0</v>
      </c>
      <c r="O226" s="5">
        <f t="shared" si="70"/>
        <v>0</v>
      </c>
      <c r="P226" s="5">
        <v>0</v>
      </c>
      <c r="Q226" s="5">
        <v>0</v>
      </c>
      <c r="R226" s="5"/>
      <c r="S226" s="5"/>
      <c r="T226" s="5">
        <f t="shared" si="71"/>
        <v>0</v>
      </c>
      <c r="U226" s="5">
        <f>J226-T226</f>
        <v>428833881</v>
      </c>
      <c r="V226" s="5">
        <f>+J226-U226</f>
        <v>0</v>
      </c>
      <c r="W226" s="5">
        <f>+T226-V226</f>
        <v>0</v>
      </c>
    </row>
    <row r="227" spans="1:23" s="98" customFormat="1" ht="15">
      <c r="A227" s="285"/>
      <c r="B227" s="103"/>
      <c r="C227" s="103"/>
      <c r="D227" s="100"/>
      <c r="E227" s="2"/>
      <c r="F227" s="2"/>
      <c r="G227" s="103"/>
      <c r="H227" s="5"/>
      <c r="I227" s="5"/>
      <c r="J227" s="5"/>
      <c r="K227" s="5"/>
      <c r="L227" s="5"/>
      <c r="M227" s="5"/>
      <c r="N227" s="5"/>
      <c r="O227" s="5">
        <f t="shared" si="70"/>
        <v>0</v>
      </c>
      <c r="P227" s="5"/>
      <c r="Q227" s="5"/>
      <c r="R227" s="5"/>
      <c r="S227" s="5"/>
      <c r="T227" s="5">
        <f t="shared" si="71"/>
        <v>0</v>
      </c>
      <c r="U227" s="5"/>
      <c r="V227" s="5"/>
      <c r="W227" s="5"/>
    </row>
    <row r="228" spans="1:23" s="328" customFormat="1" ht="15" hidden="1">
      <c r="A228" s="327"/>
      <c r="B228" s="102"/>
      <c r="C228" s="102">
        <v>540</v>
      </c>
      <c r="D228" s="43"/>
      <c r="E228" s="1"/>
      <c r="F228" s="1"/>
      <c r="G228" s="102" t="s">
        <v>533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f t="shared" si="70"/>
        <v>0</v>
      </c>
      <c r="P228" s="3">
        <v>0</v>
      </c>
      <c r="Q228" s="3">
        <v>0</v>
      </c>
      <c r="R228" s="3"/>
      <c r="S228" s="3"/>
      <c r="T228" s="3">
        <f t="shared" si="71"/>
        <v>0</v>
      </c>
      <c r="U228" s="3">
        <v>0</v>
      </c>
      <c r="V228" s="3">
        <v>0</v>
      </c>
      <c r="W228" s="3">
        <v>0</v>
      </c>
    </row>
    <row r="229" spans="1:23" s="98" customFormat="1" ht="15" hidden="1">
      <c r="A229" s="285"/>
      <c r="B229" s="103"/>
      <c r="C229" s="103"/>
      <c r="D229" s="100">
        <v>540</v>
      </c>
      <c r="E229" s="2" t="s">
        <v>77</v>
      </c>
      <c r="F229" s="2" t="s">
        <v>21</v>
      </c>
      <c r="G229" s="103" t="s">
        <v>533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f t="shared" si="70"/>
        <v>0</v>
      </c>
      <c r="P229" s="5">
        <v>0</v>
      </c>
      <c r="Q229" s="5">
        <v>0</v>
      </c>
      <c r="R229" s="5"/>
      <c r="S229" s="5"/>
      <c r="T229" s="5">
        <f t="shared" si="71"/>
        <v>0</v>
      </c>
      <c r="U229" s="5">
        <v>0</v>
      </c>
      <c r="V229" s="5">
        <v>0</v>
      </c>
      <c r="W229" s="5">
        <v>0</v>
      </c>
    </row>
    <row r="230" spans="1:23" s="328" customFormat="1" ht="15" hidden="1">
      <c r="A230" s="327"/>
      <c r="B230" s="102"/>
      <c r="C230" s="102">
        <v>570</v>
      </c>
      <c r="D230" s="43"/>
      <c r="E230" s="1"/>
      <c r="F230" s="1"/>
      <c r="G230" s="102" t="s">
        <v>534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f t="shared" si="70"/>
        <v>0</v>
      </c>
      <c r="P230" s="3">
        <v>0</v>
      </c>
      <c r="Q230" s="3">
        <v>0</v>
      </c>
      <c r="R230" s="3"/>
      <c r="S230" s="3"/>
      <c r="T230" s="3">
        <f t="shared" si="71"/>
        <v>0</v>
      </c>
      <c r="U230" s="3">
        <v>0</v>
      </c>
      <c r="V230" s="3">
        <v>0</v>
      </c>
      <c r="W230" s="3">
        <v>0</v>
      </c>
    </row>
    <row r="231" spans="1:23" s="98" customFormat="1" ht="15" hidden="1">
      <c r="A231" s="285"/>
      <c r="B231" s="103"/>
      <c r="C231" s="103"/>
      <c r="D231" s="100"/>
      <c r="E231" s="2"/>
      <c r="F231" s="2"/>
      <c r="G231" s="103"/>
      <c r="H231" s="5"/>
      <c r="I231" s="5"/>
      <c r="J231" s="5"/>
      <c r="K231" s="5"/>
      <c r="L231" s="5"/>
      <c r="M231" s="5"/>
      <c r="N231" s="5"/>
      <c r="O231" s="5">
        <f t="shared" si="70"/>
        <v>0</v>
      </c>
      <c r="P231" s="5"/>
      <c r="Q231" s="5"/>
      <c r="R231" s="5"/>
      <c r="S231" s="5"/>
      <c r="T231" s="5">
        <f t="shared" si="71"/>
        <v>0</v>
      </c>
      <c r="U231" s="5"/>
      <c r="V231" s="5"/>
      <c r="W231" s="5"/>
    </row>
    <row r="232" spans="1:23" s="328" customFormat="1" ht="15" hidden="1">
      <c r="A232" s="327"/>
      <c r="B232" s="102"/>
      <c r="C232" s="102">
        <v>580</v>
      </c>
      <c r="D232" s="43"/>
      <c r="E232" s="1"/>
      <c r="F232" s="1"/>
      <c r="G232" s="102" t="s">
        <v>79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f t="shared" si="70"/>
        <v>0</v>
      </c>
      <c r="P232" s="3">
        <v>0</v>
      </c>
      <c r="Q232" s="3">
        <v>0</v>
      </c>
      <c r="R232" s="3"/>
      <c r="S232" s="3"/>
      <c r="T232" s="3">
        <f t="shared" si="71"/>
        <v>0</v>
      </c>
      <c r="U232" s="3">
        <v>0</v>
      </c>
      <c r="V232" s="3">
        <v>0</v>
      </c>
      <c r="W232" s="3">
        <v>0</v>
      </c>
    </row>
    <row r="233" spans="1:23" s="98" customFormat="1" ht="15" hidden="1">
      <c r="A233" s="285"/>
      <c r="B233" s="103"/>
      <c r="C233" s="103"/>
      <c r="D233" s="100"/>
      <c r="E233" s="2"/>
      <c r="F233" s="2"/>
      <c r="G233" s="103"/>
      <c r="H233" s="5"/>
      <c r="I233" s="5"/>
      <c r="J233" s="5"/>
      <c r="K233" s="5"/>
      <c r="L233" s="5"/>
      <c r="M233" s="5"/>
      <c r="N233" s="5"/>
      <c r="O233" s="5">
        <f t="shared" si="70"/>
        <v>0</v>
      </c>
      <c r="P233" s="5"/>
      <c r="Q233" s="5"/>
      <c r="R233" s="5"/>
      <c r="S233" s="5"/>
      <c r="T233" s="5">
        <f t="shared" si="71"/>
        <v>0</v>
      </c>
      <c r="U233" s="5"/>
      <c r="V233" s="5"/>
      <c r="W233" s="5"/>
    </row>
    <row r="234" spans="1:23" s="98" customFormat="1" ht="15" hidden="1">
      <c r="A234" s="285"/>
      <c r="B234" s="103"/>
      <c r="C234" s="103"/>
      <c r="D234" s="100">
        <v>590</v>
      </c>
      <c r="E234" s="2" t="s">
        <v>77</v>
      </c>
      <c r="F234" s="2" t="s">
        <v>21</v>
      </c>
      <c r="G234" s="103" t="s">
        <v>535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f t="shared" si="70"/>
        <v>0</v>
      </c>
      <c r="P234" s="5">
        <v>0</v>
      </c>
      <c r="Q234" s="5">
        <v>0</v>
      </c>
      <c r="R234" s="5"/>
      <c r="S234" s="5"/>
      <c r="T234" s="5">
        <f t="shared" si="71"/>
        <v>0</v>
      </c>
      <c r="U234" s="5">
        <v>0</v>
      </c>
      <c r="V234" s="5">
        <v>0</v>
      </c>
      <c r="W234" s="5">
        <v>0</v>
      </c>
    </row>
    <row r="235" spans="1:23" s="328" customFormat="1" ht="15" hidden="1">
      <c r="A235" s="327"/>
      <c r="B235" s="102">
        <v>700</v>
      </c>
      <c r="C235" s="102"/>
      <c r="D235" s="43"/>
      <c r="E235" s="1"/>
      <c r="F235" s="1"/>
      <c r="G235" s="102" t="s">
        <v>218</v>
      </c>
      <c r="H235" s="3"/>
      <c r="I235" s="3"/>
      <c r="J235" s="3"/>
      <c r="K235" s="3"/>
      <c r="L235" s="3"/>
      <c r="M235" s="3"/>
      <c r="N235" s="3"/>
      <c r="O235" s="3">
        <f t="shared" si="70"/>
        <v>0</v>
      </c>
      <c r="P235" s="3"/>
      <c r="Q235" s="3"/>
      <c r="R235" s="3"/>
      <c r="S235" s="3"/>
      <c r="T235" s="3">
        <f t="shared" si="71"/>
        <v>0</v>
      </c>
      <c r="U235" s="3"/>
      <c r="V235" s="3"/>
      <c r="W235" s="3"/>
    </row>
    <row r="236" spans="1:23" s="98" customFormat="1" ht="15" hidden="1">
      <c r="A236" s="285"/>
      <c r="B236" s="103"/>
      <c r="C236" s="103">
        <v>730</v>
      </c>
      <c r="D236" s="100"/>
      <c r="E236" s="2"/>
      <c r="F236" s="2"/>
      <c r="G236" s="103" t="s">
        <v>536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f t="shared" si="70"/>
        <v>0</v>
      </c>
      <c r="P236" s="5">
        <v>0</v>
      </c>
      <c r="Q236" s="5">
        <v>0</v>
      </c>
      <c r="R236" s="5"/>
      <c r="S236" s="5"/>
      <c r="T236" s="5">
        <f t="shared" si="71"/>
        <v>0</v>
      </c>
      <c r="U236" s="5">
        <v>0</v>
      </c>
      <c r="V236" s="5">
        <v>0</v>
      </c>
      <c r="W236" s="5">
        <v>0</v>
      </c>
    </row>
    <row r="237" spans="1:23" s="328" customFormat="1" ht="15" hidden="1">
      <c r="A237" s="327"/>
      <c r="B237" s="102"/>
      <c r="C237" s="102"/>
      <c r="D237" s="43">
        <v>733</v>
      </c>
      <c r="E237" s="1"/>
      <c r="F237" s="1"/>
      <c r="G237" s="102" t="s">
        <v>536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f t="shared" si="70"/>
        <v>0</v>
      </c>
      <c r="P237" s="3">
        <v>0</v>
      </c>
      <c r="Q237" s="3">
        <v>0</v>
      </c>
      <c r="R237" s="3"/>
      <c r="S237" s="3"/>
      <c r="T237" s="3">
        <f t="shared" si="71"/>
        <v>0</v>
      </c>
      <c r="U237" s="3">
        <v>0</v>
      </c>
      <c r="V237" s="3">
        <v>0</v>
      </c>
      <c r="W237" s="3">
        <v>0</v>
      </c>
    </row>
    <row r="238" spans="1:23" s="98" customFormat="1" ht="15" hidden="1">
      <c r="A238" s="285"/>
      <c r="B238" s="103"/>
      <c r="C238" s="103"/>
      <c r="D238" s="100">
        <v>733</v>
      </c>
      <c r="E238" s="2" t="s">
        <v>77</v>
      </c>
      <c r="F238" s="2" t="s">
        <v>21</v>
      </c>
      <c r="G238" s="103" t="s">
        <v>536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f t="shared" si="70"/>
        <v>0</v>
      </c>
      <c r="P238" s="5">
        <v>0</v>
      </c>
      <c r="Q238" s="5">
        <v>0</v>
      </c>
      <c r="R238" s="5"/>
      <c r="S238" s="5"/>
      <c r="T238" s="5">
        <f t="shared" si="71"/>
        <v>0</v>
      </c>
      <c r="U238" s="5">
        <v>0</v>
      </c>
      <c r="V238" s="5">
        <v>0</v>
      </c>
      <c r="W238" s="5">
        <v>0</v>
      </c>
    </row>
    <row r="239" spans="1:23" s="83" customFormat="1" ht="15" hidden="1">
      <c r="A239" s="285"/>
      <c r="B239" s="104"/>
      <c r="C239" s="104"/>
      <c r="D239" s="101"/>
      <c r="E239" s="17"/>
      <c r="F239" s="17"/>
      <c r="G239" s="104"/>
      <c r="H239" s="21"/>
      <c r="I239" s="21"/>
      <c r="J239" s="21"/>
      <c r="K239" s="21"/>
      <c r="L239" s="21"/>
      <c r="M239" s="21"/>
      <c r="N239" s="21"/>
      <c r="O239" s="21">
        <f t="shared" si="70"/>
        <v>0</v>
      </c>
      <c r="P239" s="21"/>
      <c r="Q239" s="21"/>
      <c r="R239" s="21"/>
      <c r="S239" s="21"/>
      <c r="T239" s="21">
        <f t="shared" si="71"/>
        <v>0</v>
      </c>
      <c r="U239" s="21"/>
      <c r="V239" s="21"/>
      <c r="W239" s="21"/>
    </row>
    <row r="240" spans="1:23" s="98" customFormat="1" ht="20.25" hidden="1">
      <c r="A240" s="285"/>
      <c r="B240" s="43"/>
      <c r="C240" s="43">
        <f>'GASTOS CONSOLIDADO'!B218</f>
        <v>530</v>
      </c>
      <c r="D240" s="43"/>
      <c r="E240" s="1"/>
      <c r="F240" s="1"/>
      <c r="G240" s="114" t="str">
        <f>'GASTOS CONSOLIDADO'!F218</f>
        <v>Adquisición de Maquinarias, Equipos y Herramientas Mayores</v>
      </c>
      <c r="H240" s="107">
        <f aca="true" t="shared" si="76" ref="H240:N240">SUM(H241:H245)</f>
        <v>0</v>
      </c>
      <c r="I240" s="107">
        <f t="shared" si="76"/>
        <v>0</v>
      </c>
      <c r="J240" s="107">
        <f t="shared" si="76"/>
        <v>0</v>
      </c>
      <c r="K240" s="107">
        <f t="shared" si="76"/>
        <v>0</v>
      </c>
      <c r="L240" s="107">
        <f t="shared" si="76"/>
        <v>0</v>
      </c>
      <c r="M240" s="107">
        <f t="shared" si="76"/>
        <v>0</v>
      </c>
      <c r="N240" s="107">
        <f t="shared" si="76"/>
        <v>0</v>
      </c>
      <c r="O240" s="107">
        <f t="shared" si="70"/>
        <v>0</v>
      </c>
      <c r="P240" s="107">
        <f aca="true" t="shared" si="77" ref="P240:W240">SUM(P241:P245)</f>
        <v>0</v>
      </c>
      <c r="Q240" s="107">
        <f t="shared" si="77"/>
        <v>0</v>
      </c>
      <c r="R240" s="107"/>
      <c r="S240" s="107"/>
      <c r="T240" s="107">
        <f t="shared" si="71"/>
        <v>0</v>
      </c>
      <c r="U240" s="107">
        <f t="shared" si="77"/>
        <v>0</v>
      </c>
      <c r="V240" s="107">
        <f t="shared" si="77"/>
        <v>0</v>
      </c>
      <c r="W240" s="107">
        <f t="shared" si="77"/>
        <v>0</v>
      </c>
    </row>
    <row r="241" spans="1:23" s="98" customFormat="1" ht="15" hidden="1">
      <c r="A241" s="285"/>
      <c r="B241" s="103"/>
      <c r="C241" s="103"/>
      <c r="D241" s="100"/>
      <c r="E241" s="2"/>
      <c r="F241" s="2"/>
      <c r="G241" s="103"/>
      <c r="H241" s="5"/>
      <c r="I241" s="5"/>
      <c r="J241" s="5"/>
      <c r="K241" s="5"/>
      <c r="L241" s="5"/>
      <c r="M241" s="5"/>
      <c r="N241" s="5"/>
      <c r="O241" s="5">
        <f t="shared" si="70"/>
        <v>0</v>
      </c>
      <c r="P241" s="5"/>
      <c r="Q241" s="5"/>
      <c r="R241" s="5"/>
      <c r="S241" s="5"/>
      <c r="T241" s="5">
        <f t="shared" si="71"/>
        <v>0</v>
      </c>
      <c r="U241" s="5"/>
      <c r="V241" s="5"/>
      <c r="W241" s="5"/>
    </row>
    <row r="242" spans="1:23" s="98" customFormat="1" ht="15" hidden="1">
      <c r="A242" s="285"/>
      <c r="B242" s="103"/>
      <c r="C242" s="103"/>
      <c r="D242" s="100">
        <f>'GASTOS CONSOLIDADO'!C220</f>
        <v>530</v>
      </c>
      <c r="E242" s="2" t="str">
        <f>'GASTOS CONSOLIDADO'!D220</f>
        <v>30</v>
      </c>
      <c r="F242" s="2" t="str">
        <f>'GASTOS CONSOLIDADO'!E220</f>
        <v>008</v>
      </c>
      <c r="G242" s="103" t="str">
        <f>'GASTOS CONSOLIDADO'!F220</f>
        <v>Adquisición de Maq., Equipos y Herramientas Mayores</v>
      </c>
      <c r="H242" s="5">
        <f>'GASTOS CONSOLIDADO'!G220</f>
        <v>0</v>
      </c>
      <c r="I242" s="5">
        <f>'GASTOS CONSOLIDADO'!H220</f>
        <v>0</v>
      </c>
      <c r="J242" s="5">
        <f>H242+I242</f>
        <v>0</v>
      </c>
      <c r="K242" s="5">
        <v>0</v>
      </c>
      <c r="L242" s="5">
        <v>0</v>
      </c>
      <c r="M242" s="5">
        <v>0</v>
      </c>
      <c r="N242" s="5">
        <v>0</v>
      </c>
      <c r="O242" s="5">
        <f t="shared" si="70"/>
        <v>0</v>
      </c>
      <c r="P242" s="5">
        <v>0</v>
      </c>
      <c r="Q242" s="5">
        <v>0</v>
      </c>
      <c r="R242" s="5"/>
      <c r="S242" s="5"/>
      <c r="T242" s="5">
        <f t="shared" si="71"/>
        <v>0</v>
      </c>
      <c r="U242" s="5">
        <v>0</v>
      </c>
      <c r="V242" s="5">
        <v>0</v>
      </c>
      <c r="W242" s="5">
        <v>0</v>
      </c>
    </row>
    <row r="243" spans="1:23" s="98" customFormat="1" ht="15" hidden="1">
      <c r="A243" s="285"/>
      <c r="B243" s="103"/>
      <c r="C243" s="103"/>
      <c r="D243" s="100">
        <f>'GASTOS CONSOLIDADO'!C221</f>
        <v>530</v>
      </c>
      <c r="E243" s="2" t="str">
        <f>'GASTOS CONSOLIDADO'!D221</f>
        <v>30</v>
      </c>
      <c r="F243" s="2" t="str">
        <f>'GASTOS CONSOLIDADO'!E221</f>
        <v>007</v>
      </c>
      <c r="G243" s="103" t="str">
        <f>'GASTOS CONSOLIDADO'!F221</f>
        <v>Adquisición de Maq., Equipos y Herramientas Mayores</v>
      </c>
      <c r="H243" s="5">
        <f>'GASTOS CONSOLIDADO'!G221</f>
        <v>0</v>
      </c>
      <c r="I243" s="5">
        <f>'GASTOS CONSOLIDADO'!H221</f>
        <v>0</v>
      </c>
      <c r="J243" s="5">
        <f>H243+I243</f>
        <v>0</v>
      </c>
      <c r="K243" s="5">
        <v>0</v>
      </c>
      <c r="L243" s="5">
        <v>0</v>
      </c>
      <c r="M243" s="5">
        <v>0</v>
      </c>
      <c r="N243" s="5">
        <v>0</v>
      </c>
      <c r="O243" s="5">
        <f t="shared" si="70"/>
        <v>0</v>
      </c>
      <c r="P243" s="5">
        <v>0</v>
      </c>
      <c r="Q243" s="5">
        <v>0</v>
      </c>
      <c r="R243" s="5"/>
      <c r="S243" s="5"/>
      <c r="T243" s="5">
        <f t="shared" si="71"/>
        <v>0</v>
      </c>
      <c r="U243" s="5">
        <v>0</v>
      </c>
      <c r="V243" s="5">
        <v>0</v>
      </c>
      <c r="W243" s="5">
        <v>0</v>
      </c>
    </row>
    <row r="244" spans="1:23" s="98" customFormat="1" ht="15" hidden="1">
      <c r="A244" s="285"/>
      <c r="B244" s="103"/>
      <c r="C244" s="103"/>
      <c r="D244" s="2" t="str">
        <f>'GASTOS CONSOLIDADO'!C222</f>
        <v>530</v>
      </c>
      <c r="E244" s="2" t="str">
        <f>'GASTOS CONSOLIDADO'!D222</f>
        <v>30</v>
      </c>
      <c r="F244" s="2" t="str">
        <f>'GASTOS CONSOLIDADO'!E222</f>
        <v>001</v>
      </c>
      <c r="G244" s="103" t="str">
        <f>'GASTOS CONSOLIDADO'!F222</f>
        <v>Adquisición de Maq., Equipos y Herramientas Mayores</v>
      </c>
      <c r="H244" s="5">
        <f>'GASTOS CONSOLIDADO'!G222</f>
        <v>0</v>
      </c>
      <c r="I244" s="5">
        <f>'GASTOS CONSOLIDADO'!H222</f>
        <v>0</v>
      </c>
      <c r="J244" s="5">
        <f>H244+I244</f>
        <v>0</v>
      </c>
      <c r="K244" s="5">
        <v>0</v>
      </c>
      <c r="L244" s="5">
        <v>0</v>
      </c>
      <c r="M244" s="5">
        <v>0</v>
      </c>
      <c r="N244" s="5">
        <v>0</v>
      </c>
      <c r="O244" s="5">
        <f t="shared" si="70"/>
        <v>0</v>
      </c>
      <c r="P244" s="5">
        <v>0</v>
      </c>
      <c r="Q244" s="5">
        <v>0</v>
      </c>
      <c r="R244" s="5"/>
      <c r="S244" s="5"/>
      <c r="T244" s="5">
        <f t="shared" si="71"/>
        <v>0</v>
      </c>
      <c r="U244" s="5">
        <v>0</v>
      </c>
      <c r="V244" s="5">
        <v>0</v>
      </c>
      <c r="W244" s="5">
        <v>0</v>
      </c>
    </row>
    <row r="245" spans="1:23" s="83" customFormat="1" ht="15" hidden="1">
      <c r="A245" s="285"/>
      <c r="B245" s="104"/>
      <c r="C245" s="17"/>
      <c r="D245" s="17"/>
      <c r="E245" s="17"/>
      <c r="F245" s="17"/>
      <c r="G245" s="104"/>
      <c r="H245" s="21"/>
      <c r="I245" s="21"/>
      <c r="J245" s="21"/>
      <c r="K245" s="21"/>
      <c r="L245" s="21"/>
      <c r="M245" s="21"/>
      <c r="N245" s="21"/>
      <c r="O245" s="21">
        <f t="shared" si="70"/>
        <v>0</v>
      </c>
      <c r="P245" s="21"/>
      <c r="Q245" s="21"/>
      <c r="R245" s="21"/>
      <c r="S245" s="21"/>
      <c r="T245" s="21">
        <f t="shared" si="71"/>
        <v>0</v>
      </c>
      <c r="U245" s="21"/>
      <c r="V245" s="21"/>
      <c r="W245" s="21"/>
    </row>
    <row r="246" spans="1:23" s="98" customFormat="1" ht="20.25" hidden="1">
      <c r="A246" s="285"/>
      <c r="B246" s="43"/>
      <c r="C246" s="43">
        <f>'GASTOS CONSOLIDADO'!B224</f>
        <v>540</v>
      </c>
      <c r="D246" s="43"/>
      <c r="E246" s="1"/>
      <c r="F246" s="1"/>
      <c r="G246" s="114" t="str">
        <f>'GASTOS CONSOLIDADO'!F224</f>
        <v>Adquisición de Equipos de Oficina y Computación</v>
      </c>
      <c r="H246" s="107">
        <f aca="true" t="shared" si="78" ref="H246:N246">SUM(H247:H251)</f>
        <v>0</v>
      </c>
      <c r="I246" s="107">
        <f t="shared" si="78"/>
        <v>0</v>
      </c>
      <c r="J246" s="107">
        <f t="shared" si="78"/>
        <v>0</v>
      </c>
      <c r="K246" s="107">
        <f t="shared" si="78"/>
        <v>0</v>
      </c>
      <c r="L246" s="107">
        <f t="shared" si="78"/>
        <v>0</v>
      </c>
      <c r="M246" s="107">
        <f t="shared" si="78"/>
        <v>0</v>
      </c>
      <c r="N246" s="107">
        <f t="shared" si="78"/>
        <v>0</v>
      </c>
      <c r="O246" s="107">
        <f t="shared" si="70"/>
        <v>0</v>
      </c>
      <c r="P246" s="107">
        <f aca="true" t="shared" si="79" ref="P246:W246">SUM(P247:P251)</f>
        <v>0</v>
      </c>
      <c r="Q246" s="107">
        <f t="shared" si="79"/>
        <v>0</v>
      </c>
      <c r="R246" s="107"/>
      <c r="S246" s="107"/>
      <c r="T246" s="107">
        <f t="shared" si="71"/>
        <v>0</v>
      </c>
      <c r="U246" s="107">
        <f t="shared" si="79"/>
        <v>0</v>
      </c>
      <c r="V246" s="107">
        <f t="shared" si="79"/>
        <v>0</v>
      </c>
      <c r="W246" s="107">
        <f t="shared" si="79"/>
        <v>0</v>
      </c>
    </row>
    <row r="247" spans="1:23" s="98" customFormat="1" ht="15" hidden="1">
      <c r="A247" s="285"/>
      <c r="B247" s="103"/>
      <c r="C247" s="103"/>
      <c r="D247" s="100"/>
      <c r="E247" s="2"/>
      <c r="F247" s="2"/>
      <c r="G247" s="103"/>
      <c r="H247" s="5"/>
      <c r="I247" s="5"/>
      <c r="J247" s="5"/>
      <c r="K247" s="5"/>
      <c r="L247" s="5"/>
      <c r="M247" s="5"/>
      <c r="N247" s="5"/>
      <c r="O247" s="5">
        <f t="shared" si="70"/>
        <v>0</v>
      </c>
      <c r="P247" s="5"/>
      <c r="Q247" s="5"/>
      <c r="R247" s="5"/>
      <c r="S247" s="5"/>
      <c r="T247" s="5">
        <f t="shared" si="71"/>
        <v>0</v>
      </c>
      <c r="U247" s="5"/>
      <c r="V247" s="5"/>
      <c r="W247" s="5"/>
    </row>
    <row r="248" spans="1:23" s="98" customFormat="1" ht="15" hidden="1">
      <c r="A248" s="285"/>
      <c r="B248" s="103"/>
      <c r="C248" s="103"/>
      <c r="D248" s="100">
        <f>'GASTOS CONSOLIDADO'!C226</f>
        <v>540</v>
      </c>
      <c r="E248" s="2" t="str">
        <f>'GASTOS CONSOLIDADO'!D226</f>
        <v>30</v>
      </c>
      <c r="F248" s="2" t="str">
        <f>'GASTOS CONSOLIDADO'!E226</f>
        <v>008</v>
      </c>
      <c r="G248" s="103" t="str">
        <f>'GASTOS CONSOLIDADO'!F226</f>
        <v>Adquisición de Equipos de Oficina y Computación</v>
      </c>
      <c r="H248" s="5">
        <f>'GASTOS CONSOLIDADO'!G226</f>
        <v>0</v>
      </c>
      <c r="I248" s="5">
        <f>'GASTOS CONSOLIDADO'!H226</f>
        <v>0</v>
      </c>
      <c r="J248" s="5">
        <f>H248+I248</f>
        <v>0</v>
      </c>
      <c r="K248" s="5">
        <v>0</v>
      </c>
      <c r="L248" s="5">
        <v>0</v>
      </c>
      <c r="M248" s="5">
        <v>0</v>
      </c>
      <c r="N248" s="5">
        <v>0</v>
      </c>
      <c r="O248" s="5">
        <f t="shared" si="70"/>
        <v>0</v>
      </c>
      <c r="P248" s="5">
        <v>0</v>
      </c>
      <c r="Q248" s="5">
        <v>0</v>
      </c>
      <c r="R248" s="5"/>
      <c r="S248" s="5"/>
      <c r="T248" s="5">
        <f t="shared" si="71"/>
        <v>0</v>
      </c>
      <c r="U248" s="5">
        <v>0</v>
      </c>
      <c r="V248" s="5">
        <v>0</v>
      </c>
      <c r="W248" s="5">
        <v>0</v>
      </c>
    </row>
    <row r="249" spans="1:23" s="98" customFormat="1" ht="15" hidden="1">
      <c r="A249" s="285"/>
      <c r="B249" s="103"/>
      <c r="C249" s="103"/>
      <c r="D249" s="100"/>
      <c r="E249" s="2"/>
      <c r="F249" s="2"/>
      <c r="G249" s="103"/>
      <c r="H249" s="5"/>
      <c r="I249" s="5"/>
      <c r="J249" s="5"/>
      <c r="K249" s="5"/>
      <c r="L249" s="5"/>
      <c r="M249" s="5"/>
      <c r="N249" s="5"/>
      <c r="O249" s="5">
        <f t="shared" si="70"/>
        <v>0</v>
      </c>
      <c r="P249" s="5"/>
      <c r="Q249" s="5"/>
      <c r="R249" s="5"/>
      <c r="S249" s="5"/>
      <c r="T249" s="5">
        <f t="shared" si="71"/>
        <v>0</v>
      </c>
      <c r="U249" s="5"/>
      <c r="V249" s="5"/>
      <c r="W249" s="5"/>
    </row>
    <row r="250" spans="1:23" s="98" customFormat="1" ht="15" hidden="1">
      <c r="A250" s="285"/>
      <c r="B250" s="103"/>
      <c r="C250" s="103"/>
      <c r="D250" s="100">
        <f>'GASTOS CONSOLIDADO'!C228</f>
        <v>540</v>
      </c>
      <c r="E250" s="2" t="str">
        <f>'GASTOS CONSOLIDADO'!D228</f>
        <v>30</v>
      </c>
      <c r="F250" s="2" t="str">
        <f>'GASTOS CONSOLIDADO'!E228</f>
        <v>001</v>
      </c>
      <c r="G250" s="103" t="str">
        <f>'GASTOS CONSOLIDADO'!F228</f>
        <v>Adquisición de Equipos de Oficina y Computación</v>
      </c>
      <c r="H250" s="5">
        <f>'GASTOS CONSOLIDADO'!G228</f>
        <v>0</v>
      </c>
      <c r="I250" s="5">
        <f>'GASTOS CONSOLIDADO'!H228</f>
        <v>0</v>
      </c>
      <c r="J250" s="5">
        <f>H250+I250</f>
        <v>0</v>
      </c>
      <c r="K250" s="5">
        <v>0</v>
      </c>
      <c r="L250" s="5">
        <v>0</v>
      </c>
      <c r="M250" s="5">
        <v>0</v>
      </c>
      <c r="N250" s="5">
        <v>0</v>
      </c>
      <c r="O250" s="5">
        <f t="shared" si="70"/>
        <v>0</v>
      </c>
      <c r="P250" s="5">
        <v>0</v>
      </c>
      <c r="Q250" s="5">
        <v>0</v>
      </c>
      <c r="R250" s="5"/>
      <c r="S250" s="5"/>
      <c r="T250" s="5">
        <f t="shared" si="71"/>
        <v>0</v>
      </c>
      <c r="U250" s="5">
        <v>0</v>
      </c>
      <c r="V250" s="5">
        <v>0</v>
      </c>
      <c r="W250" s="5">
        <v>0</v>
      </c>
    </row>
    <row r="251" spans="1:23" s="83" customFormat="1" ht="15" hidden="1">
      <c r="A251" s="285"/>
      <c r="B251" s="104"/>
      <c r="C251" s="104"/>
      <c r="D251" s="101"/>
      <c r="E251" s="17"/>
      <c r="F251" s="17"/>
      <c r="G251" s="104"/>
      <c r="H251" s="21"/>
      <c r="I251" s="21"/>
      <c r="J251" s="21"/>
      <c r="K251" s="21"/>
      <c r="L251" s="21"/>
      <c r="M251" s="21"/>
      <c r="N251" s="21"/>
      <c r="O251" s="21">
        <f t="shared" si="70"/>
        <v>0</v>
      </c>
      <c r="P251" s="21"/>
      <c r="Q251" s="21"/>
      <c r="R251" s="21"/>
      <c r="S251" s="21"/>
      <c r="T251" s="21">
        <f t="shared" si="71"/>
        <v>0</v>
      </c>
      <c r="U251" s="21"/>
      <c r="V251" s="21"/>
      <c r="W251" s="21"/>
    </row>
    <row r="252" spans="1:23" s="98" customFormat="1" ht="15" hidden="1">
      <c r="A252" s="285"/>
      <c r="B252" s="102"/>
      <c r="C252" s="102">
        <f>'GASTOS CONSOLIDADO'!B230</f>
        <v>570</v>
      </c>
      <c r="D252" s="43"/>
      <c r="E252" s="1"/>
      <c r="F252" s="1"/>
      <c r="G252" s="102" t="str">
        <f>'GASTOS CONSOLIDADO'!F230</f>
        <v>Adquisición de Activos Intangibles</v>
      </c>
      <c r="H252" s="3">
        <f aca="true" t="shared" si="80" ref="H252:N252">SUM(H253:H255)</f>
        <v>0</v>
      </c>
      <c r="I252" s="3">
        <f t="shared" si="80"/>
        <v>0</v>
      </c>
      <c r="J252" s="3">
        <f t="shared" si="80"/>
        <v>0</v>
      </c>
      <c r="K252" s="3">
        <f t="shared" si="80"/>
        <v>0</v>
      </c>
      <c r="L252" s="3">
        <f t="shared" si="80"/>
        <v>0</v>
      </c>
      <c r="M252" s="3">
        <f t="shared" si="80"/>
        <v>0</v>
      </c>
      <c r="N252" s="3">
        <f t="shared" si="80"/>
        <v>0</v>
      </c>
      <c r="O252" s="3">
        <f t="shared" si="70"/>
        <v>0</v>
      </c>
      <c r="P252" s="3">
        <f aca="true" t="shared" si="81" ref="P252:W252">SUM(P253:P255)</f>
        <v>0</v>
      </c>
      <c r="Q252" s="3">
        <f t="shared" si="81"/>
        <v>0</v>
      </c>
      <c r="R252" s="3"/>
      <c r="S252" s="3"/>
      <c r="T252" s="3">
        <f t="shared" si="71"/>
        <v>0</v>
      </c>
      <c r="U252" s="3">
        <f t="shared" si="81"/>
        <v>0</v>
      </c>
      <c r="V252" s="3">
        <f t="shared" si="81"/>
        <v>0</v>
      </c>
      <c r="W252" s="3">
        <f t="shared" si="81"/>
        <v>0</v>
      </c>
    </row>
    <row r="253" spans="1:23" s="98" customFormat="1" ht="15" hidden="1">
      <c r="A253" s="285"/>
      <c r="B253" s="103"/>
      <c r="C253" s="103"/>
      <c r="D253" s="100"/>
      <c r="E253" s="2"/>
      <c r="F253" s="2"/>
      <c r="G253" s="103"/>
      <c r="H253" s="5"/>
      <c r="I253" s="5"/>
      <c r="J253" s="5"/>
      <c r="K253" s="5"/>
      <c r="L253" s="5"/>
      <c r="M253" s="5"/>
      <c r="N253" s="5"/>
      <c r="O253" s="5">
        <f t="shared" si="70"/>
        <v>0</v>
      </c>
      <c r="P253" s="5"/>
      <c r="Q253" s="5"/>
      <c r="R253" s="5"/>
      <c r="S253" s="5"/>
      <c r="T253" s="5">
        <f t="shared" si="71"/>
        <v>0</v>
      </c>
      <c r="U253" s="5"/>
      <c r="V253" s="5"/>
      <c r="W253" s="5"/>
    </row>
    <row r="254" spans="1:23" s="98" customFormat="1" ht="15" hidden="1">
      <c r="A254" s="285"/>
      <c r="B254" s="103"/>
      <c r="C254" s="103"/>
      <c r="D254" s="100">
        <f>'GASTOS CONSOLIDADO'!C232</f>
        <v>570</v>
      </c>
      <c r="E254" s="2" t="str">
        <f>'GASTOS CONSOLIDADO'!D232</f>
        <v>30</v>
      </c>
      <c r="F254" s="2" t="str">
        <f>'GASTOS CONSOLIDADO'!E232</f>
        <v>001</v>
      </c>
      <c r="G254" s="103" t="str">
        <f>'GASTOS CONSOLIDADO'!F232</f>
        <v>Adquisición de Activos Intangibles</v>
      </c>
      <c r="H254" s="5">
        <f>'GASTOS CONSOLIDADO'!G232</f>
        <v>0</v>
      </c>
      <c r="I254" s="5">
        <f>'GASTOS CONSOLIDADO'!H232</f>
        <v>0</v>
      </c>
      <c r="J254" s="5">
        <f>H254+I254</f>
        <v>0</v>
      </c>
      <c r="K254" s="5">
        <v>0</v>
      </c>
      <c r="L254" s="5">
        <v>0</v>
      </c>
      <c r="M254" s="5">
        <v>0</v>
      </c>
      <c r="N254" s="5">
        <v>0</v>
      </c>
      <c r="O254" s="5">
        <f t="shared" si="70"/>
        <v>0</v>
      </c>
      <c r="P254" s="5">
        <v>0</v>
      </c>
      <c r="Q254" s="5">
        <v>0</v>
      </c>
      <c r="R254" s="5"/>
      <c r="S254" s="5"/>
      <c r="T254" s="5">
        <f t="shared" si="71"/>
        <v>0</v>
      </c>
      <c r="U254" s="5">
        <v>0</v>
      </c>
      <c r="V254" s="5">
        <v>0</v>
      </c>
      <c r="W254" s="5">
        <v>0</v>
      </c>
    </row>
    <row r="255" spans="1:23" s="83" customFormat="1" ht="15" hidden="1">
      <c r="A255" s="285"/>
      <c r="B255" s="104"/>
      <c r="C255" s="104"/>
      <c r="D255" s="101"/>
      <c r="E255" s="17"/>
      <c r="F255" s="17"/>
      <c r="G255" s="104"/>
      <c r="H255" s="21"/>
      <c r="I255" s="21"/>
      <c r="J255" s="21"/>
      <c r="K255" s="21"/>
      <c r="L255" s="21"/>
      <c r="M255" s="21"/>
      <c r="N255" s="21"/>
      <c r="O255" s="21">
        <f t="shared" si="70"/>
        <v>0</v>
      </c>
      <c r="P255" s="21"/>
      <c r="Q255" s="21"/>
      <c r="R255" s="21"/>
      <c r="S255" s="21"/>
      <c r="T255" s="21">
        <f t="shared" si="71"/>
        <v>0</v>
      </c>
      <c r="U255" s="21"/>
      <c r="V255" s="21"/>
      <c r="W255" s="21"/>
    </row>
    <row r="256" spans="1:23" s="98" customFormat="1" ht="13.5" hidden="1">
      <c r="A256" s="77"/>
      <c r="B256" s="102"/>
      <c r="C256" s="102">
        <f>'GASTOS CONSOLIDADO'!B234</f>
        <v>580</v>
      </c>
      <c r="D256" s="43"/>
      <c r="E256" s="1"/>
      <c r="F256" s="1"/>
      <c r="G256" s="102" t="str">
        <f>'GASTOS CONSOLIDADO'!F234</f>
        <v>Estudios de Proyectos de Inversión</v>
      </c>
      <c r="H256" s="3">
        <f aca="true" t="shared" si="82" ref="H256:N256">H257</f>
        <v>0</v>
      </c>
      <c r="I256" s="3">
        <f t="shared" si="82"/>
        <v>0</v>
      </c>
      <c r="J256" s="3">
        <f t="shared" si="82"/>
        <v>0</v>
      </c>
      <c r="K256" s="3">
        <f t="shared" si="82"/>
        <v>0</v>
      </c>
      <c r="L256" s="3">
        <f t="shared" si="82"/>
        <v>0</v>
      </c>
      <c r="M256" s="3">
        <f t="shared" si="82"/>
        <v>0</v>
      </c>
      <c r="N256" s="3">
        <f t="shared" si="82"/>
        <v>0</v>
      </c>
      <c r="O256" s="3">
        <f t="shared" si="70"/>
        <v>0</v>
      </c>
      <c r="P256" s="3">
        <f aca="true" t="shared" si="83" ref="P256:W256">P257</f>
        <v>0</v>
      </c>
      <c r="Q256" s="3">
        <f t="shared" si="83"/>
        <v>0</v>
      </c>
      <c r="R256" s="3"/>
      <c r="S256" s="3"/>
      <c r="T256" s="3">
        <f t="shared" si="71"/>
        <v>0</v>
      </c>
      <c r="U256" s="3">
        <f t="shared" si="83"/>
        <v>0</v>
      </c>
      <c r="V256" s="3">
        <f t="shared" si="83"/>
        <v>0</v>
      </c>
      <c r="W256" s="3">
        <f t="shared" si="83"/>
        <v>0</v>
      </c>
    </row>
    <row r="257" spans="1:23" s="98" customFormat="1" ht="13.5" hidden="1">
      <c r="A257" s="77"/>
      <c r="B257" s="103"/>
      <c r="C257" s="103"/>
      <c r="D257" s="100"/>
      <c r="E257" s="2"/>
      <c r="F257" s="2"/>
      <c r="G257" s="103"/>
      <c r="H257" s="5"/>
      <c r="I257" s="5"/>
      <c r="J257" s="5"/>
      <c r="K257" s="5"/>
      <c r="L257" s="5"/>
      <c r="M257" s="5"/>
      <c r="N257" s="5"/>
      <c r="O257" s="5">
        <f t="shared" si="70"/>
        <v>0</v>
      </c>
      <c r="P257" s="5"/>
      <c r="Q257" s="5"/>
      <c r="R257" s="5"/>
      <c r="S257" s="5"/>
      <c r="T257" s="5">
        <f t="shared" si="71"/>
        <v>0</v>
      </c>
      <c r="U257" s="5"/>
      <c r="V257" s="5"/>
      <c r="W257" s="5"/>
    </row>
    <row r="258" spans="1:23" s="83" customFormat="1" ht="13.5" hidden="1">
      <c r="A258" s="77"/>
      <c r="B258" s="104"/>
      <c r="C258" s="104"/>
      <c r="D258" s="101"/>
      <c r="E258" s="17"/>
      <c r="F258" s="17"/>
      <c r="G258" s="104"/>
      <c r="H258" s="21"/>
      <c r="I258" s="21"/>
      <c r="J258" s="21"/>
      <c r="K258" s="21"/>
      <c r="L258" s="21"/>
      <c r="M258" s="21"/>
      <c r="N258" s="21"/>
      <c r="O258" s="21">
        <f t="shared" si="70"/>
        <v>0</v>
      </c>
      <c r="P258" s="21"/>
      <c r="Q258" s="21"/>
      <c r="R258" s="21"/>
      <c r="S258" s="21"/>
      <c r="T258" s="21">
        <f t="shared" si="71"/>
        <v>0</v>
      </c>
      <c r="U258" s="21"/>
      <c r="V258" s="21"/>
      <c r="W258" s="21"/>
    </row>
    <row r="259" spans="1:23" s="98" customFormat="1" ht="13.5" hidden="1">
      <c r="A259" s="77"/>
      <c r="B259" s="102"/>
      <c r="C259" s="102">
        <f>'GASTOS CONSOLIDADO'!B237</f>
        <v>590</v>
      </c>
      <c r="D259" s="43"/>
      <c r="E259" s="1"/>
      <c r="F259" s="1"/>
      <c r="G259" s="102" t="str">
        <f>'GASTOS CONSOLIDADO'!F237</f>
        <v>Otros Gastos de Inversiones Mayores</v>
      </c>
      <c r="H259" s="3">
        <f aca="true" t="shared" si="84" ref="H259:N259">SUM(H260:H261)</f>
        <v>0</v>
      </c>
      <c r="I259" s="3">
        <f t="shared" si="84"/>
        <v>0</v>
      </c>
      <c r="J259" s="3">
        <f t="shared" si="84"/>
        <v>0</v>
      </c>
      <c r="K259" s="3">
        <f t="shared" si="84"/>
        <v>0</v>
      </c>
      <c r="L259" s="3">
        <f t="shared" si="84"/>
        <v>0</v>
      </c>
      <c r="M259" s="3">
        <f t="shared" si="84"/>
        <v>0</v>
      </c>
      <c r="N259" s="3">
        <f t="shared" si="84"/>
        <v>0</v>
      </c>
      <c r="O259" s="3">
        <f t="shared" si="70"/>
        <v>0</v>
      </c>
      <c r="P259" s="3">
        <f aca="true" t="shared" si="85" ref="P259:W259">SUM(P260:P261)</f>
        <v>0</v>
      </c>
      <c r="Q259" s="3">
        <f t="shared" si="85"/>
        <v>0</v>
      </c>
      <c r="R259" s="3"/>
      <c r="S259" s="3"/>
      <c r="T259" s="3">
        <f t="shared" si="71"/>
        <v>0</v>
      </c>
      <c r="U259" s="3">
        <f t="shared" si="85"/>
        <v>0</v>
      </c>
      <c r="V259" s="3">
        <f t="shared" si="85"/>
        <v>0</v>
      </c>
      <c r="W259" s="3">
        <f t="shared" si="85"/>
        <v>0</v>
      </c>
    </row>
    <row r="260" spans="1:23" s="98" customFormat="1" ht="13.5" hidden="1">
      <c r="A260" s="77"/>
      <c r="B260" s="103"/>
      <c r="C260" s="103"/>
      <c r="D260" s="100"/>
      <c r="E260" s="2"/>
      <c r="F260" s="2"/>
      <c r="G260" s="103"/>
      <c r="H260" s="5"/>
      <c r="I260" s="5"/>
      <c r="J260" s="5"/>
      <c r="K260" s="5"/>
      <c r="L260" s="5"/>
      <c r="M260" s="5"/>
      <c r="N260" s="5"/>
      <c r="O260" s="5">
        <f t="shared" si="70"/>
        <v>0</v>
      </c>
      <c r="P260" s="5"/>
      <c r="Q260" s="5"/>
      <c r="R260" s="5"/>
      <c r="S260" s="5"/>
      <c r="T260" s="5">
        <f t="shared" si="71"/>
        <v>0</v>
      </c>
      <c r="U260" s="5"/>
      <c r="V260" s="5"/>
      <c r="W260" s="5"/>
    </row>
    <row r="261" spans="1:23" s="98" customFormat="1" ht="13.5" hidden="1">
      <c r="A261" s="77"/>
      <c r="B261" s="103"/>
      <c r="C261" s="103"/>
      <c r="D261" s="100">
        <f>'GASTOS CONSOLIDADO'!C239</f>
        <v>590</v>
      </c>
      <c r="E261" s="2" t="str">
        <f>'GASTOS CONSOLIDADO'!D239</f>
        <v>30</v>
      </c>
      <c r="F261" s="2" t="str">
        <f>'GASTOS CONSOLIDADO'!E239</f>
        <v>001</v>
      </c>
      <c r="G261" s="103" t="str">
        <f>'GASTOS CONSOLIDADO'!F239</f>
        <v>Otros Gastos de Inversiones  y Reparaciones Mayores</v>
      </c>
      <c r="H261" s="5">
        <f>'GASTOS CONSOLIDADO'!G239</f>
        <v>0</v>
      </c>
      <c r="I261" s="5">
        <f>'GASTOS CONSOLIDADO'!H239</f>
        <v>0</v>
      </c>
      <c r="J261" s="5">
        <f>H261+I261</f>
        <v>0</v>
      </c>
      <c r="K261" s="5">
        <v>0</v>
      </c>
      <c r="L261" s="5">
        <v>0</v>
      </c>
      <c r="M261" s="5">
        <v>0</v>
      </c>
      <c r="N261" s="5">
        <v>0</v>
      </c>
      <c r="O261" s="5">
        <f t="shared" si="70"/>
        <v>0</v>
      </c>
      <c r="P261" s="5">
        <v>0</v>
      </c>
      <c r="Q261" s="5">
        <v>0</v>
      </c>
      <c r="R261" s="5"/>
      <c r="S261" s="5"/>
      <c r="T261" s="5">
        <f t="shared" si="71"/>
        <v>0</v>
      </c>
      <c r="U261" s="5">
        <v>0</v>
      </c>
      <c r="V261" s="5">
        <v>0</v>
      </c>
      <c r="W261" s="5">
        <v>0</v>
      </c>
    </row>
    <row r="262" spans="1:23" s="83" customFormat="1" ht="13.5" hidden="1">
      <c r="A262" s="77"/>
      <c r="B262" s="104"/>
      <c r="C262" s="104"/>
      <c r="D262" s="101"/>
      <c r="E262" s="17"/>
      <c r="F262" s="17"/>
      <c r="G262" s="104"/>
      <c r="H262" s="21"/>
      <c r="I262" s="21"/>
      <c r="J262" s="21"/>
      <c r="K262" s="21"/>
      <c r="L262" s="21"/>
      <c r="M262" s="21"/>
      <c r="N262" s="21"/>
      <c r="O262" s="21">
        <f t="shared" si="70"/>
        <v>0</v>
      </c>
      <c r="P262" s="21"/>
      <c r="Q262" s="21"/>
      <c r="R262" s="21"/>
      <c r="S262" s="21"/>
      <c r="T262" s="21">
        <f t="shared" si="71"/>
        <v>0</v>
      </c>
      <c r="U262" s="21"/>
      <c r="V262" s="21"/>
      <c r="W262" s="21"/>
    </row>
    <row r="263" spans="1:23" s="98" customFormat="1" ht="13.5" hidden="1">
      <c r="A263" s="77"/>
      <c r="B263" s="43">
        <f>'GASTOS CONSOLIDADO'!A241</f>
        <v>700</v>
      </c>
      <c r="C263" s="100"/>
      <c r="D263" s="100"/>
      <c r="E263" s="2"/>
      <c r="F263" s="2"/>
      <c r="G263" s="102" t="str">
        <f>'GASTOS CONSOLIDADO'!F241</f>
        <v>SERVICIO DE LA DEUDA PÚBLICA</v>
      </c>
      <c r="H263" s="3">
        <f aca="true" t="shared" si="86" ref="H263:N265">H264</f>
        <v>0</v>
      </c>
      <c r="I263" s="3">
        <f t="shared" si="86"/>
        <v>0</v>
      </c>
      <c r="J263" s="3">
        <f t="shared" si="86"/>
        <v>0</v>
      </c>
      <c r="K263" s="3">
        <f t="shared" si="86"/>
        <v>0</v>
      </c>
      <c r="L263" s="3">
        <f t="shared" si="86"/>
        <v>0</v>
      </c>
      <c r="M263" s="3">
        <f t="shared" si="86"/>
        <v>0</v>
      </c>
      <c r="N263" s="3">
        <f t="shared" si="86"/>
        <v>0</v>
      </c>
      <c r="O263" s="3">
        <f t="shared" si="70"/>
        <v>0</v>
      </c>
      <c r="P263" s="3">
        <f aca="true" t="shared" si="87" ref="P263:Q265">P264</f>
        <v>0</v>
      </c>
      <c r="Q263" s="3">
        <f t="shared" si="87"/>
        <v>0</v>
      </c>
      <c r="R263" s="3"/>
      <c r="S263" s="3"/>
      <c r="T263" s="3">
        <f t="shared" si="71"/>
        <v>0</v>
      </c>
      <c r="U263" s="3">
        <f aca="true" t="shared" si="88" ref="U263:W265">U264</f>
        <v>0</v>
      </c>
      <c r="V263" s="3">
        <f t="shared" si="88"/>
        <v>0</v>
      </c>
      <c r="W263" s="3">
        <f t="shared" si="88"/>
        <v>0</v>
      </c>
    </row>
    <row r="264" spans="1:23" s="98" customFormat="1" ht="13.5" hidden="1">
      <c r="A264" s="77"/>
      <c r="B264" s="103"/>
      <c r="C264" s="102">
        <f>'GASTOS CONSOLIDADO'!B242</f>
        <v>730</v>
      </c>
      <c r="D264" s="100"/>
      <c r="E264" s="2"/>
      <c r="F264" s="2"/>
      <c r="G264" s="102" t="str">
        <f>'GASTOS CONSOLIDADO'!F242</f>
        <v>Amortización de la Deuda Pública Interna</v>
      </c>
      <c r="H264" s="3">
        <f t="shared" si="86"/>
        <v>0</v>
      </c>
      <c r="I264" s="3">
        <f t="shared" si="86"/>
        <v>0</v>
      </c>
      <c r="J264" s="3">
        <f t="shared" si="86"/>
        <v>0</v>
      </c>
      <c r="K264" s="3">
        <f t="shared" si="86"/>
        <v>0</v>
      </c>
      <c r="L264" s="3">
        <f t="shared" si="86"/>
        <v>0</v>
      </c>
      <c r="M264" s="3">
        <f t="shared" si="86"/>
        <v>0</v>
      </c>
      <c r="N264" s="3">
        <f t="shared" si="86"/>
        <v>0</v>
      </c>
      <c r="O264" s="3">
        <f t="shared" si="70"/>
        <v>0</v>
      </c>
      <c r="P264" s="3">
        <f t="shared" si="87"/>
        <v>0</v>
      </c>
      <c r="Q264" s="3">
        <f t="shared" si="87"/>
        <v>0</v>
      </c>
      <c r="R264" s="3"/>
      <c r="S264" s="3"/>
      <c r="T264" s="3">
        <f t="shared" si="71"/>
        <v>0</v>
      </c>
      <c r="U264" s="3">
        <f t="shared" si="88"/>
        <v>0</v>
      </c>
      <c r="V264" s="3">
        <f t="shared" si="88"/>
        <v>0</v>
      </c>
      <c r="W264" s="3">
        <f t="shared" si="88"/>
        <v>0</v>
      </c>
    </row>
    <row r="265" spans="1:23" s="98" customFormat="1" ht="13.5" hidden="1">
      <c r="A265" s="77"/>
      <c r="B265" s="43"/>
      <c r="C265" s="43"/>
      <c r="D265" s="43">
        <f>'GASTOS CONSOLIDADO'!C243</f>
        <v>733</v>
      </c>
      <c r="E265" s="1"/>
      <c r="F265" s="1"/>
      <c r="G265" s="114" t="str">
        <f>'GASTOS CONSOLIDADO'!F243</f>
        <v>Amortización de la Deuda con el Sector Privado</v>
      </c>
      <c r="H265" s="107">
        <f t="shared" si="86"/>
        <v>0</v>
      </c>
      <c r="I265" s="107">
        <f t="shared" si="86"/>
        <v>0</v>
      </c>
      <c r="J265" s="107">
        <f t="shared" si="86"/>
        <v>0</v>
      </c>
      <c r="K265" s="107">
        <f t="shared" si="86"/>
        <v>0</v>
      </c>
      <c r="L265" s="107">
        <f t="shared" si="86"/>
        <v>0</v>
      </c>
      <c r="M265" s="107">
        <f t="shared" si="86"/>
        <v>0</v>
      </c>
      <c r="N265" s="107">
        <f t="shared" si="86"/>
        <v>0</v>
      </c>
      <c r="O265" s="107">
        <f t="shared" si="70"/>
        <v>0</v>
      </c>
      <c r="P265" s="107">
        <f t="shared" si="87"/>
        <v>0</v>
      </c>
      <c r="Q265" s="107">
        <f t="shared" si="87"/>
        <v>0</v>
      </c>
      <c r="R265" s="107"/>
      <c r="S265" s="107"/>
      <c r="T265" s="107">
        <f t="shared" si="71"/>
        <v>0</v>
      </c>
      <c r="U265" s="107">
        <f t="shared" si="88"/>
        <v>0</v>
      </c>
      <c r="V265" s="107">
        <f t="shared" si="88"/>
        <v>0</v>
      </c>
      <c r="W265" s="107">
        <f t="shared" si="88"/>
        <v>0</v>
      </c>
    </row>
    <row r="266" spans="1:23" s="98" customFormat="1" ht="13.5" hidden="1">
      <c r="A266" s="77"/>
      <c r="B266" s="100"/>
      <c r="C266" s="100"/>
      <c r="D266" s="100">
        <f>'GASTOS CONSOLIDADO'!C244</f>
        <v>733</v>
      </c>
      <c r="E266" s="2" t="str">
        <f>'GASTOS CONSOLIDADO'!D244</f>
        <v>30</v>
      </c>
      <c r="F266" s="2" t="str">
        <f>'GASTOS CONSOLIDADO'!E244</f>
        <v>001</v>
      </c>
      <c r="G266" s="103" t="str">
        <f>'GASTOS CONSOLIDADO'!F244</f>
        <v>Amortización de la Deuda con el Sector Privado</v>
      </c>
      <c r="H266" s="5">
        <f>'GASTOS CONSOLIDADO'!G244</f>
        <v>0</v>
      </c>
      <c r="I266" s="5">
        <f>'GASTOS CONSOLIDADO'!H244</f>
        <v>0</v>
      </c>
      <c r="J266" s="5">
        <f>H266+I266</f>
        <v>0</v>
      </c>
      <c r="K266" s="5">
        <v>0</v>
      </c>
      <c r="L266" s="5">
        <v>0</v>
      </c>
      <c r="M266" s="5">
        <v>0</v>
      </c>
      <c r="N266" s="5">
        <v>0</v>
      </c>
      <c r="O266" s="5">
        <f t="shared" si="70"/>
        <v>0</v>
      </c>
      <c r="P266" s="5">
        <v>0</v>
      </c>
      <c r="Q266" s="5">
        <v>0</v>
      </c>
      <c r="R266" s="5"/>
      <c r="S266" s="5"/>
      <c r="T266" s="5">
        <f t="shared" si="71"/>
        <v>0</v>
      </c>
      <c r="U266" s="5">
        <v>0</v>
      </c>
      <c r="V266" s="5">
        <v>0</v>
      </c>
      <c r="W266" s="5">
        <v>0</v>
      </c>
    </row>
    <row r="267" spans="1:23" s="98" customFormat="1" ht="14.25">
      <c r="A267" s="77"/>
      <c r="B267" s="43">
        <f>'GASTOS CONSOLIDADO'!A246</f>
        <v>800</v>
      </c>
      <c r="C267" s="100"/>
      <c r="D267" s="100"/>
      <c r="E267" s="2"/>
      <c r="F267" s="2"/>
      <c r="G267" s="102" t="str">
        <f>'GASTOS CONSOLIDADO'!F246</f>
        <v>TRANSFERENCIAS</v>
      </c>
      <c r="H267" s="3">
        <f>H268+H275</f>
        <v>20000000</v>
      </c>
      <c r="I267" s="3">
        <f aca="true" t="shared" si="89" ref="I267:W267">I268+I275</f>
        <v>0</v>
      </c>
      <c r="J267" s="3">
        <f t="shared" si="89"/>
        <v>20000000</v>
      </c>
      <c r="K267" s="3">
        <f t="shared" si="89"/>
        <v>0</v>
      </c>
      <c r="L267" s="3">
        <f t="shared" si="89"/>
        <v>0</v>
      </c>
      <c r="M267" s="3">
        <f t="shared" si="89"/>
        <v>0</v>
      </c>
      <c r="N267" s="3">
        <f t="shared" si="89"/>
        <v>0</v>
      </c>
      <c r="O267" s="3">
        <f t="shared" si="70"/>
        <v>0</v>
      </c>
      <c r="P267" s="3">
        <f t="shared" si="89"/>
        <v>0</v>
      </c>
      <c r="Q267" s="3">
        <f t="shared" si="89"/>
        <v>0</v>
      </c>
      <c r="R267" s="3">
        <f t="shared" si="89"/>
        <v>0</v>
      </c>
      <c r="S267" s="3">
        <f t="shared" si="89"/>
        <v>0</v>
      </c>
      <c r="T267" s="3">
        <f t="shared" si="71"/>
        <v>0</v>
      </c>
      <c r="U267" s="3">
        <f t="shared" si="89"/>
        <v>20000000</v>
      </c>
      <c r="V267" s="3">
        <f t="shared" si="89"/>
        <v>0</v>
      </c>
      <c r="W267" s="3">
        <f t="shared" si="89"/>
        <v>0</v>
      </c>
    </row>
    <row r="268" spans="1:23" s="98" customFormat="1" ht="22.5">
      <c r="A268" s="77"/>
      <c r="B268" s="103"/>
      <c r="C268" s="102">
        <f>'GASTOS CONSOLIDADO'!B247</f>
        <v>870</v>
      </c>
      <c r="D268" s="100"/>
      <c r="E268" s="2"/>
      <c r="F268" s="2"/>
      <c r="G268" s="114" t="str">
        <f>'GASTOS CONSOLIDADO'!F247</f>
        <v>Transferencias de Capital al Sector Privado</v>
      </c>
      <c r="H268" s="107">
        <f aca="true" t="shared" si="90" ref="H268:W268">H269</f>
        <v>20000000</v>
      </c>
      <c r="I268" s="107">
        <f t="shared" si="90"/>
        <v>0</v>
      </c>
      <c r="J268" s="107">
        <f t="shared" si="90"/>
        <v>20000000</v>
      </c>
      <c r="K268" s="107">
        <f t="shared" si="90"/>
        <v>0</v>
      </c>
      <c r="L268" s="107">
        <f t="shared" si="90"/>
        <v>0</v>
      </c>
      <c r="M268" s="107">
        <f t="shared" si="90"/>
        <v>0</v>
      </c>
      <c r="N268" s="107">
        <f t="shared" si="90"/>
        <v>0</v>
      </c>
      <c r="O268" s="107">
        <f t="shared" si="70"/>
        <v>0</v>
      </c>
      <c r="P268" s="107">
        <f t="shared" si="90"/>
        <v>0</v>
      </c>
      <c r="Q268" s="107">
        <f t="shared" si="90"/>
        <v>0</v>
      </c>
      <c r="R268" s="107">
        <f t="shared" si="90"/>
        <v>0</v>
      </c>
      <c r="S268" s="107">
        <f t="shared" si="90"/>
        <v>0</v>
      </c>
      <c r="T268" s="107">
        <f t="shared" si="71"/>
        <v>0</v>
      </c>
      <c r="U268" s="107">
        <f t="shared" si="90"/>
        <v>20000000</v>
      </c>
      <c r="V268" s="107">
        <f t="shared" si="90"/>
        <v>0</v>
      </c>
      <c r="W268" s="107">
        <f t="shared" si="90"/>
        <v>0</v>
      </c>
    </row>
    <row r="269" spans="1:23" s="98" customFormat="1" ht="22.5">
      <c r="A269" s="77"/>
      <c r="B269" s="43"/>
      <c r="C269" s="43"/>
      <c r="D269" s="43">
        <f>'GASTOS CONSOLIDADO'!C248</f>
        <v>871</v>
      </c>
      <c r="E269" s="1"/>
      <c r="F269" s="1"/>
      <c r="G269" s="114" t="str">
        <f>'GASTOS CONSOLIDADO'!F248</f>
        <v>Transferencias de Capital al Sector Privado, Varias</v>
      </c>
      <c r="H269" s="107">
        <f>SUM(H270:H273)</f>
        <v>20000000</v>
      </c>
      <c r="I269" s="107">
        <f aca="true" t="shared" si="91" ref="I269:W269">SUM(I270:I273)</f>
        <v>0</v>
      </c>
      <c r="J269" s="107">
        <f t="shared" si="91"/>
        <v>20000000</v>
      </c>
      <c r="K269" s="107">
        <f t="shared" si="91"/>
        <v>0</v>
      </c>
      <c r="L269" s="107">
        <f t="shared" si="91"/>
        <v>0</v>
      </c>
      <c r="M269" s="107">
        <f t="shared" si="91"/>
        <v>0</v>
      </c>
      <c r="N269" s="107">
        <f t="shared" si="91"/>
        <v>0</v>
      </c>
      <c r="O269" s="107">
        <f t="shared" si="70"/>
        <v>0</v>
      </c>
      <c r="P269" s="107">
        <f t="shared" si="91"/>
        <v>0</v>
      </c>
      <c r="Q269" s="107">
        <f t="shared" si="91"/>
        <v>0</v>
      </c>
      <c r="R269" s="107">
        <f t="shared" si="91"/>
        <v>0</v>
      </c>
      <c r="S269" s="107">
        <f t="shared" si="91"/>
        <v>0</v>
      </c>
      <c r="T269" s="107">
        <f t="shared" si="71"/>
        <v>0</v>
      </c>
      <c r="U269" s="107">
        <f t="shared" si="91"/>
        <v>20000000</v>
      </c>
      <c r="V269" s="107">
        <f t="shared" si="91"/>
        <v>0</v>
      </c>
      <c r="W269" s="107">
        <f t="shared" si="91"/>
        <v>0</v>
      </c>
    </row>
    <row r="270" spans="1:23" s="98" customFormat="1" ht="13.5" hidden="1">
      <c r="A270" s="77"/>
      <c r="B270" s="100"/>
      <c r="C270" s="100"/>
      <c r="D270" s="100"/>
      <c r="E270" s="2"/>
      <c r="F270" s="2"/>
      <c r="G270" s="103"/>
      <c r="H270" s="5"/>
      <c r="I270" s="5"/>
      <c r="J270" s="5"/>
      <c r="K270" s="5"/>
      <c r="L270" s="5"/>
      <c r="M270" s="5"/>
      <c r="N270" s="5"/>
      <c r="O270" s="5">
        <f t="shared" si="70"/>
        <v>0</v>
      </c>
      <c r="P270" s="5"/>
      <c r="Q270" s="5"/>
      <c r="R270" s="5"/>
      <c r="S270" s="5"/>
      <c r="T270" s="5">
        <f t="shared" si="71"/>
        <v>0</v>
      </c>
      <c r="U270" s="5"/>
      <c r="V270" s="5"/>
      <c r="W270" s="5"/>
    </row>
    <row r="271" spans="1:23" s="98" customFormat="1" ht="13.5" hidden="1">
      <c r="A271" s="77"/>
      <c r="B271" s="100"/>
      <c r="C271" s="100"/>
      <c r="D271" s="100"/>
      <c r="E271" s="2"/>
      <c r="F271" s="2"/>
      <c r="G271" s="103"/>
      <c r="H271" s="5"/>
      <c r="I271" s="5"/>
      <c r="J271" s="5"/>
      <c r="K271" s="5"/>
      <c r="L271" s="5"/>
      <c r="M271" s="5"/>
      <c r="N271" s="5"/>
      <c r="O271" s="5">
        <f t="shared" si="70"/>
        <v>0</v>
      </c>
      <c r="P271" s="5"/>
      <c r="Q271" s="5"/>
      <c r="R271" s="5"/>
      <c r="S271" s="5"/>
      <c r="T271" s="5">
        <f t="shared" si="71"/>
        <v>0</v>
      </c>
      <c r="U271" s="5"/>
      <c r="V271" s="5"/>
      <c r="W271" s="5"/>
    </row>
    <row r="272" spans="1:23" s="98" customFormat="1" ht="13.5" hidden="1">
      <c r="A272" s="77"/>
      <c r="B272" s="100"/>
      <c r="C272" s="100"/>
      <c r="D272" s="100"/>
      <c r="E272" s="2"/>
      <c r="F272" s="2"/>
      <c r="G272" s="103"/>
      <c r="H272" s="5"/>
      <c r="I272" s="5"/>
      <c r="J272" s="5"/>
      <c r="K272" s="5"/>
      <c r="L272" s="5"/>
      <c r="M272" s="5"/>
      <c r="N272" s="5"/>
      <c r="O272" s="5">
        <f t="shared" si="70"/>
        <v>0</v>
      </c>
      <c r="P272" s="5"/>
      <c r="Q272" s="5"/>
      <c r="R272" s="5"/>
      <c r="S272" s="5"/>
      <c r="T272" s="5">
        <f t="shared" si="71"/>
        <v>0</v>
      </c>
      <c r="U272" s="5"/>
      <c r="V272" s="5"/>
      <c r="W272" s="5"/>
    </row>
    <row r="273" spans="1:23" s="98" customFormat="1" ht="14.25">
      <c r="A273" s="77"/>
      <c r="B273" s="100"/>
      <c r="C273" s="100"/>
      <c r="D273" s="100">
        <f>'GASTOS CONSOLIDADO'!C252</f>
        <v>871</v>
      </c>
      <c r="E273" s="2" t="str">
        <f>'GASTOS CONSOLIDADO'!D252</f>
        <v>30</v>
      </c>
      <c r="F273" s="2" t="str">
        <f>'GASTOS CONSOLIDADO'!E252</f>
        <v>001</v>
      </c>
      <c r="G273" s="103" t="str">
        <f>'GASTOS CONSOLIDADO'!F252</f>
        <v>Transferencias de Capital al Sector Privado</v>
      </c>
      <c r="H273" s="5">
        <f>'GASTOS CONSOLIDADO'!G252</f>
        <v>20000000</v>
      </c>
      <c r="I273" s="5">
        <f>'GASTOS CONSOLIDADO'!H252</f>
        <v>0</v>
      </c>
      <c r="J273" s="5">
        <f>H273+I273</f>
        <v>20000000</v>
      </c>
      <c r="K273" s="5">
        <v>0</v>
      </c>
      <c r="L273" s="5">
        <v>0</v>
      </c>
      <c r="M273" s="5">
        <v>0</v>
      </c>
      <c r="N273" s="5">
        <v>0</v>
      </c>
      <c r="O273" s="5">
        <f t="shared" si="70"/>
        <v>0</v>
      </c>
      <c r="P273" s="5">
        <v>0</v>
      </c>
      <c r="Q273" s="5">
        <v>0</v>
      </c>
      <c r="R273" s="5"/>
      <c r="S273" s="5"/>
      <c r="T273" s="5">
        <f t="shared" si="71"/>
        <v>0</v>
      </c>
      <c r="U273" s="5">
        <f>J273-T273</f>
        <v>20000000</v>
      </c>
      <c r="V273" s="5">
        <f>+J273-U273</f>
        <v>0</v>
      </c>
      <c r="W273" s="5">
        <f>+T273-V273</f>
        <v>0</v>
      </c>
    </row>
    <row r="274" spans="1:23" s="83" customFormat="1" ht="13.5" hidden="1">
      <c r="A274" s="77"/>
      <c r="B274" s="101"/>
      <c r="C274" s="101"/>
      <c r="D274" s="101"/>
      <c r="E274" s="17"/>
      <c r="F274" s="17"/>
      <c r="G274" s="104"/>
      <c r="H274" s="21"/>
      <c r="I274" s="21"/>
      <c r="J274" s="21"/>
      <c r="K274" s="21"/>
      <c r="L274" s="21"/>
      <c r="M274" s="21"/>
      <c r="N274" s="21"/>
      <c r="O274" s="21">
        <f t="shared" si="70"/>
        <v>0</v>
      </c>
      <c r="P274" s="21"/>
      <c r="Q274" s="21"/>
      <c r="R274" s="21"/>
      <c r="S274" s="21"/>
      <c r="T274" s="21">
        <f t="shared" si="71"/>
        <v>0</v>
      </c>
      <c r="U274" s="21"/>
      <c r="V274" s="21"/>
      <c r="W274" s="21"/>
    </row>
    <row r="275" spans="1:23" s="98" customFormat="1" ht="20.25" hidden="1">
      <c r="A275" s="77"/>
      <c r="B275" s="103"/>
      <c r="C275" s="102">
        <f>'GASTOS CONSOLIDADO'!B254</f>
        <v>890</v>
      </c>
      <c r="D275" s="100"/>
      <c r="E275" s="2"/>
      <c r="F275" s="2"/>
      <c r="G275" s="114" t="str">
        <f>'GASTOS CONSOLIDADO'!F254</f>
        <v>Otras Transferencias de Capital al Sector Público o Privado</v>
      </c>
      <c r="H275" s="107">
        <f aca="true" t="shared" si="92" ref="H275:N275">H276</f>
        <v>0</v>
      </c>
      <c r="I275" s="107">
        <f t="shared" si="92"/>
        <v>0</v>
      </c>
      <c r="J275" s="107">
        <f t="shared" si="92"/>
        <v>0</v>
      </c>
      <c r="K275" s="107">
        <f t="shared" si="92"/>
        <v>0</v>
      </c>
      <c r="L275" s="107">
        <f t="shared" si="92"/>
        <v>0</v>
      </c>
      <c r="M275" s="107">
        <f t="shared" si="92"/>
        <v>0</v>
      </c>
      <c r="N275" s="107">
        <f t="shared" si="92"/>
        <v>0</v>
      </c>
      <c r="O275" s="107">
        <f t="shared" si="70"/>
        <v>0</v>
      </c>
      <c r="P275" s="107">
        <f aca="true" t="shared" si="93" ref="P275:W275">P276</f>
        <v>0</v>
      </c>
      <c r="Q275" s="107">
        <f t="shared" si="93"/>
        <v>0</v>
      </c>
      <c r="R275" s="107"/>
      <c r="S275" s="107"/>
      <c r="T275" s="107">
        <f t="shared" si="71"/>
        <v>0</v>
      </c>
      <c r="U275" s="107">
        <f t="shared" si="93"/>
        <v>0</v>
      </c>
      <c r="V275" s="107">
        <f t="shared" si="93"/>
        <v>0</v>
      </c>
      <c r="W275" s="107">
        <f t="shared" si="93"/>
        <v>0</v>
      </c>
    </row>
    <row r="276" spans="1:23" s="98" customFormat="1" ht="13.5" hidden="1">
      <c r="A276" s="77"/>
      <c r="B276" s="100"/>
      <c r="C276" s="100"/>
      <c r="D276" s="100"/>
      <c r="E276" s="2"/>
      <c r="F276" s="2"/>
      <c r="G276" s="103"/>
      <c r="H276" s="5"/>
      <c r="I276" s="5"/>
      <c r="J276" s="5"/>
      <c r="K276" s="5"/>
      <c r="L276" s="5"/>
      <c r="M276" s="5"/>
      <c r="N276" s="5"/>
      <c r="O276" s="5">
        <f aca="true" t="shared" si="94" ref="O276:O285">SUM(K276:N276)</f>
        <v>0</v>
      </c>
      <c r="P276" s="5"/>
      <c r="Q276" s="5"/>
      <c r="R276" s="5"/>
      <c r="S276" s="5"/>
      <c r="T276" s="5">
        <f aca="true" t="shared" si="95" ref="T276:T285">SUM(O276:S276)</f>
        <v>0</v>
      </c>
      <c r="U276" s="5"/>
      <c r="V276" s="5"/>
      <c r="W276" s="5"/>
    </row>
    <row r="277" spans="1:23" s="83" customFormat="1" ht="13.5" hidden="1">
      <c r="A277" s="77"/>
      <c r="B277" s="101"/>
      <c r="C277" s="101"/>
      <c r="D277" s="101"/>
      <c r="E277" s="17"/>
      <c r="F277" s="17"/>
      <c r="G277" s="104"/>
      <c r="H277" s="21"/>
      <c r="I277" s="21"/>
      <c r="J277" s="21"/>
      <c r="K277" s="21"/>
      <c r="L277" s="21"/>
      <c r="M277" s="21"/>
      <c r="N277" s="21"/>
      <c r="O277" s="21">
        <f t="shared" si="94"/>
        <v>0</v>
      </c>
      <c r="P277" s="21"/>
      <c r="Q277" s="21"/>
      <c r="R277" s="21"/>
      <c r="S277" s="21"/>
      <c r="T277" s="21">
        <f t="shared" si="95"/>
        <v>0</v>
      </c>
      <c r="U277" s="21"/>
      <c r="V277" s="21"/>
      <c r="W277" s="21"/>
    </row>
    <row r="278" spans="1:23" s="98" customFormat="1" ht="13.5" hidden="1">
      <c r="A278" s="77"/>
      <c r="B278" s="43">
        <f>'GASTOS CONSOLIDADO'!A257</f>
        <v>900</v>
      </c>
      <c r="C278" s="100"/>
      <c r="D278" s="100"/>
      <c r="E278" s="2"/>
      <c r="F278" s="2"/>
      <c r="G278" s="102" t="str">
        <f>'GASTOS CONSOLIDADO'!F257</f>
        <v>OTROS GASTOS</v>
      </c>
      <c r="H278" s="3">
        <f aca="true" t="shared" si="96" ref="H278:N278">H279</f>
        <v>0</v>
      </c>
      <c r="I278" s="3">
        <f t="shared" si="96"/>
        <v>0</v>
      </c>
      <c r="J278" s="3">
        <f t="shared" si="96"/>
        <v>0</v>
      </c>
      <c r="K278" s="3">
        <f t="shared" si="96"/>
        <v>0</v>
      </c>
      <c r="L278" s="3">
        <f t="shared" si="96"/>
        <v>0</v>
      </c>
      <c r="M278" s="3">
        <f t="shared" si="96"/>
        <v>0</v>
      </c>
      <c r="N278" s="3">
        <f t="shared" si="96"/>
        <v>0</v>
      </c>
      <c r="O278" s="3">
        <f t="shared" si="94"/>
        <v>0</v>
      </c>
      <c r="P278" s="3">
        <f aca="true" t="shared" si="97" ref="P278:W278">P279</f>
        <v>0</v>
      </c>
      <c r="Q278" s="3">
        <f t="shared" si="97"/>
        <v>0</v>
      </c>
      <c r="R278" s="3"/>
      <c r="S278" s="3"/>
      <c r="T278" s="3">
        <f t="shared" si="95"/>
        <v>0</v>
      </c>
      <c r="U278" s="3">
        <f t="shared" si="97"/>
        <v>0</v>
      </c>
      <c r="V278" s="3">
        <f t="shared" si="97"/>
        <v>0</v>
      </c>
      <c r="W278" s="3">
        <f t="shared" si="97"/>
        <v>0</v>
      </c>
    </row>
    <row r="279" spans="1:23" s="98" customFormat="1" ht="20.25" hidden="1">
      <c r="A279" s="77"/>
      <c r="B279" s="100"/>
      <c r="C279" s="43">
        <f>'GASTOS CONSOLIDADO'!B258</f>
        <v>980</v>
      </c>
      <c r="D279" s="100"/>
      <c r="E279" s="2"/>
      <c r="F279" s="2"/>
      <c r="G279" s="114" t="str">
        <f>'GASTOS CONSOLIDADO'!F258</f>
        <v>Deudas Pend. de Pago de Gastos de Capital de Ejerc. Anter.</v>
      </c>
      <c r="H279" s="107">
        <f aca="true" t="shared" si="98" ref="H279:N279">SUM(H280:H283)</f>
        <v>0</v>
      </c>
      <c r="I279" s="107">
        <f t="shared" si="98"/>
        <v>0</v>
      </c>
      <c r="J279" s="107">
        <f t="shared" si="98"/>
        <v>0</v>
      </c>
      <c r="K279" s="107">
        <f t="shared" si="98"/>
        <v>0</v>
      </c>
      <c r="L279" s="107">
        <f t="shared" si="98"/>
        <v>0</v>
      </c>
      <c r="M279" s="107">
        <f t="shared" si="98"/>
        <v>0</v>
      </c>
      <c r="N279" s="107">
        <f t="shared" si="98"/>
        <v>0</v>
      </c>
      <c r="O279" s="107">
        <f t="shared" si="94"/>
        <v>0</v>
      </c>
      <c r="P279" s="107">
        <f aca="true" t="shared" si="99" ref="P279:W279">SUM(P280:P283)</f>
        <v>0</v>
      </c>
      <c r="Q279" s="107">
        <f t="shared" si="99"/>
        <v>0</v>
      </c>
      <c r="R279" s="107"/>
      <c r="S279" s="107"/>
      <c r="T279" s="107">
        <f t="shared" si="95"/>
        <v>0</v>
      </c>
      <c r="U279" s="107">
        <f t="shared" si="99"/>
        <v>0</v>
      </c>
      <c r="V279" s="107">
        <f t="shared" si="99"/>
        <v>0</v>
      </c>
      <c r="W279" s="107">
        <f t="shared" si="99"/>
        <v>0</v>
      </c>
    </row>
    <row r="280" spans="1:23" s="98" customFormat="1" ht="13.5" hidden="1">
      <c r="A280" s="77"/>
      <c r="B280" s="100"/>
      <c r="C280" s="100"/>
      <c r="D280" s="100"/>
      <c r="E280" s="2"/>
      <c r="F280" s="2"/>
      <c r="G280" s="103"/>
      <c r="H280" s="5"/>
      <c r="I280" s="5"/>
      <c r="J280" s="5"/>
      <c r="K280" s="5"/>
      <c r="L280" s="5"/>
      <c r="M280" s="5"/>
      <c r="N280" s="5"/>
      <c r="O280" s="5">
        <f t="shared" si="94"/>
        <v>0</v>
      </c>
      <c r="P280" s="5"/>
      <c r="Q280" s="5"/>
      <c r="R280" s="5"/>
      <c r="S280" s="5"/>
      <c r="T280" s="5">
        <f t="shared" si="95"/>
        <v>0</v>
      </c>
      <c r="U280" s="5"/>
      <c r="V280" s="5"/>
      <c r="W280" s="5"/>
    </row>
    <row r="281" spans="1:23" s="98" customFormat="1" ht="13.5" hidden="1">
      <c r="A281" s="77"/>
      <c r="B281" s="100"/>
      <c r="C281" s="100"/>
      <c r="D281" s="100">
        <f>'GASTOS CONSOLIDADO'!C260</f>
        <v>980</v>
      </c>
      <c r="E281" s="2" t="str">
        <f>'GASTOS CONSOLIDADO'!D260</f>
        <v>30</v>
      </c>
      <c r="F281" s="2" t="str">
        <f>'GASTOS CONSOLIDADO'!E260</f>
        <v>008</v>
      </c>
      <c r="G281" s="103" t="str">
        <f>'GASTOS CONSOLIDADO'!F260</f>
        <v>Deudas Pend. de Pago de Gastos de Capital de Ejercicios Anter.</v>
      </c>
      <c r="H281" s="5">
        <f>'GASTOS CONSOLIDADO'!G260</f>
        <v>0</v>
      </c>
      <c r="I281" s="5">
        <f>'GASTOS CONSOLIDADO'!H260</f>
        <v>0</v>
      </c>
      <c r="J281" s="5">
        <f>H281+I281</f>
        <v>0</v>
      </c>
      <c r="K281" s="5">
        <v>0</v>
      </c>
      <c r="L281" s="5">
        <v>0</v>
      </c>
      <c r="M281" s="5">
        <v>0</v>
      </c>
      <c r="N281" s="5">
        <v>0</v>
      </c>
      <c r="O281" s="5">
        <f t="shared" si="94"/>
        <v>0</v>
      </c>
      <c r="P281" s="5">
        <v>0</v>
      </c>
      <c r="Q281" s="5">
        <v>0</v>
      </c>
      <c r="R281" s="5"/>
      <c r="S281" s="5"/>
      <c r="T281" s="5">
        <f t="shared" si="95"/>
        <v>0</v>
      </c>
      <c r="U281" s="5">
        <v>0</v>
      </c>
      <c r="V281" s="5">
        <v>0</v>
      </c>
      <c r="W281" s="5">
        <v>0</v>
      </c>
    </row>
    <row r="282" spans="1:23" s="98" customFormat="1" ht="13.5" hidden="1">
      <c r="A282" s="77"/>
      <c r="B282" s="100"/>
      <c r="C282" s="100"/>
      <c r="D282" s="100">
        <f>'GASTOS CONSOLIDADO'!C261</f>
        <v>980</v>
      </c>
      <c r="E282" s="2" t="str">
        <f>'GASTOS CONSOLIDADO'!D261</f>
        <v>30</v>
      </c>
      <c r="F282" s="2" t="str">
        <f>'GASTOS CONSOLIDADO'!E261</f>
        <v>007</v>
      </c>
      <c r="G282" s="103" t="str">
        <f>'GASTOS CONSOLIDADO'!F261</f>
        <v>Deudas Pend. de Pago de Gastos de Capital de Ejercicios Anter.</v>
      </c>
      <c r="H282" s="5">
        <f>'GASTOS CONSOLIDADO'!G261</f>
        <v>0</v>
      </c>
      <c r="I282" s="5">
        <f>'GASTOS CONSOLIDADO'!H261</f>
        <v>0</v>
      </c>
      <c r="J282" s="5">
        <f>H282+I282</f>
        <v>0</v>
      </c>
      <c r="K282" s="5">
        <v>0</v>
      </c>
      <c r="L282" s="5">
        <v>0</v>
      </c>
      <c r="M282" s="5">
        <v>0</v>
      </c>
      <c r="N282" s="5">
        <v>0</v>
      </c>
      <c r="O282" s="5">
        <f t="shared" si="94"/>
        <v>0</v>
      </c>
      <c r="P282" s="5">
        <v>0</v>
      </c>
      <c r="Q282" s="5">
        <v>0</v>
      </c>
      <c r="R282" s="5"/>
      <c r="S282" s="5"/>
      <c r="T282" s="5">
        <f t="shared" si="95"/>
        <v>0</v>
      </c>
      <c r="U282" s="5">
        <v>0</v>
      </c>
      <c r="V282" s="5">
        <v>0</v>
      </c>
      <c r="W282" s="5">
        <v>0</v>
      </c>
    </row>
    <row r="283" spans="1:23" s="98" customFormat="1" ht="13.5" hidden="1">
      <c r="A283" s="77"/>
      <c r="B283" s="100"/>
      <c r="C283" s="100"/>
      <c r="D283" s="100">
        <f>'GASTOS CONSOLIDADO'!C262</f>
        <v>980</v>
      </c>
      <c r="E283" s="2" t="str">
        <f>'GASTOS CONSOLIDADO'!D262</f>
        <v>30</v>
      </c>
      <c r="F283" s="2" t="str">
        <f>'GASTOS CONSOLIDADO'!E262</f>
        <v>001</v>
      </c>
      <c r="G283" s="103" t="str">
        <f>'GASTOS CONSOLIDADO'!F262</f>
        <v>Deudas Pend. de Pago de Gastos de Capital de Ejercicios Anter.</v>
      </c>
      <c r="H283" s="5">
        <f>'GASTOS CONSOLIDADO'!G262</f>
        <v>0</v>
      </c>
      <c r="I283" s="5">
        <f>'GASTOS CONSOLIDADO'!H262</f>
        <v>0</v>
      </c>
      <c r="J283" s="5">
        <f>H283+I283</f>
        <v>0</v>
      </c>
      <c r="K283" s="5">
        <v>0</v>
      </c>
      <c r="L283" s="5">
        <v>0</v>
      </c>
      <c r="M283" s="5">
        <v>0</v>
      </c>
      <c r="N283" s="5">
        <v>0</v>
      </c>
      <c r="O283" s="5">
        <f t="shared" si="94"/>
        <v>0</v>
      </c>
      <c r="P283" s="5">
        <v>0</v>
      </c>
      <c r="Q283" s="5">
        <v>0</v>
      </c>
      <c r="R283" s="5"/>
      <c r="S283" s="5"/>
      <c r="T283" s="5">
        <f t="shared" si="95"/>
        <v>0</v>
      </c>
      <c r="U283" s="5">
        <v>0</v>
      </c>
      <c r="V283" s="5">
        <v>0</v>
      </c>
      <c r="W283" s="5">
        <v>0</v>
      </c>
    </row>
    <row r="284" spans="1:23" s="328" customFormat="1" ht="13.5" hidden="1">
      <c r="A284" s="329"/>
      <c r="B284" s="43"/>
      <c r="C284" s="43">
        <v>890</v>
      </c>
      <c r="D284" s="43"/>
      <c r="E284" s="1"/>
      <c r="F284" s="1"/>
      <c r="G284" s="102" t="s">
        <v>539</v>
      </c>
      <c r="H284" s="3"/>
      <c r="I284" s="3"/>
      <c r="J284" s="3"/>
      <c r="K284" s="3"/>
      <c r="L284" s="3"/>
      <c r="M284" s="3"/>
      <c r="N284" s="3"/>
      <c r="O284" s="3">
        <f t="shared" si="94"/>
        <v>0</v>
      </c>
      <c r="P284" s="3"/>
      <c r="Q284" s="3"/>
      <c r="R284" s="3"/>
      <c r="S284" s="3"/>
      <c r="T284" s="3">
        <f t="shared" si="95"/>
        <v>0</v>
      </c>
      <c r="U284" s="3"/>
      <c r="V284" s="3"/>
      <c r="W284" s="3"/>
    </row>
    <row r="285" spans="1:23" s="328" customFormat="1" ht="15">
      <c r="A285" s="329"/>
      <c r="B285" s="43"/>
      <c r="C285" s="43"/>
      <c r="D285" s="43"/>
      <c r="E285" s="1"/>
      <c r="F285" s="1"/>
      <c r="G285" s="102"/>
      <c r="H285" s="3"/>
      <c r="I285" s="3"/>
      <c r="J285" s="3"/>
      <c r="K285" s="3"/>
      <c r="L285" s="3"/>
      <c r="M285" s="3"/>
      <c r="N285" s="3"/>
      <c r="O285" s="3">
        <f t="shared" si="94"/>
        <v>0</v>
      </c>
      <c r="P285" s="3"/>
      <c r="Q285" s="3"/>
      <c r="R285" s="3"/>
      <c r="S285" s="3"/>
      <c r="T285" s="3">
        <f t="shared" si="95"/>
        <v>0</v>
      </c>
      <c r="U285" s="3"/>
      <c r="V285" s="3"/>
      <c r="W285" s="3"/>
    </row>
    <row r="286" spans="1:23" s="98" customFormat="1" ht="20.25">
      <c r="A286" s="97"/>
      <c r="B286" s="40"/>
      <c r="C286" s="40"/>
      <c r="D286" s="40"/>
      <c r="E286" s="40"/>
      <c r="F286" s="40"/>
      <c r="G286" s="40" t="s">
        <v>17</v>
      </c>
      <c r="H286" s="42">
        <f>+H19</f>
        <v>1429590851</v>
      </c>
      <c r="I286" s="42">
        <f aca="true" t="shared" si="100" ref="I286:T286">I20+I207</f>
        <v>393794316</v>
      </c>
      <c r="J286" s="42">
        <f t="shared" si="100"/>
        <v>1823385167</v>
      </c>
      <c r="K286" s="42">
        <f t="shared" si="100"/>
        <v>5000000</v>
      </c>
      <c r="L286" s="42">
        <f t="shared" si="100"/>
        <v>61108686</v>
      </c>
      <c r="M286" s="42">
        <f t="shared" si="100"/>
        <v>36763668</v>
      </c>
      <c r="N286" s="42">
        <f t="shared" si="100"/>
        <v>138190785</v>
      </c>
      <c r="O286" s="42">
        <f>O20+O207</f>
        <v>241063139</v>
      </c>
      <c r="P286" s="42">
        <f t="shared" si="100"/>
        <v>128625217</v>
      </c>
      <c r="Q286" s="42">
        <f t="shared" si="100"/>
        <v>154271441</v>
      </c>
      <c r="R286" s="42">
        <f t="shared" si="100"/>
        <v>155025158</v>
      </c>
      <c r="S286" s="42">
        <f t="shared" si="100"/>
        <v>100840929</v>
      </c>
      <c r="T286" s="42">
        <f t="shared" si="100"/>
        <v>779825884</v>
      </c>
      <c r="U286" s="42">
        <f>U20+U207</f>
        <v>1097291933</v>
      </c>
      <c r="V286" s="42">
        <f>V20+V207</f>
        <v>736367410</v>
      </c>
      <c r="W286" s="42">
        <f>W20+W207</f>
        <v>0</v>
      </c>
    </row>
    <row r="287" spans="1:19" s="468" customFormat="1" ht="13.5" hidden="1">
      <c r="A287" s="77"/>
      <c r="H287" s="478">
        <v>1429590851</v>
      </c>
      <c r="I287" s="479">
        <v>382794316</v>
      </c>
      <c r="J287" s="479">
        <v>1812385167</v>
      </c>
      <c r="K287" s="479">
        <v>5000000</v>
      </c>
      <c r="L287" s="479">
        <v>61108686</v>
      </c>
      <c r="M287" s="479">
        <v>36763668</v>
      </c>
      <c r="N287" s="479">
        <v>138190785</v>
      </c>
      <c r="O287" s="479"/>
      <c r="P287" s="479">
        <v>128625217</v>
      </c>
      <c r="Q287" s="479">
        <v>179271441</v>
      </c>
      <c r="R287" s="479">
        <v>155025158</v>
      </c>
      <c r="S287" s="479">
        <f>+HOJA!C175+5500</f>
        <v>100840929</v>
      </c>
    </row>
    <row r="288" spans="1:23" s="468" customFormat="1" ht="13.5" hidden="1">
      <c r="A288" s="77"/>
      <c r="H288" s="478">
        <f>+H286-H287</f>
        <v>0</v>
      </c>
      <c r="I288" s="478">
        <f>+I286-I287</f>
        <v>11000000</v>
      </c>
      <c r="J288" s="478">
        <f aca="true" t="shared" si="101" ref="J288:W288">+J286-J287</f>
        <v>11000000</v>
      </c>
      <c r="K288" s="478">
        <f t="shared" si="101"/>
        <v>0</v>
      </c>
      <c r="L288" s="478">
        <f t="shared" si="101"/>
        <v>0</v>
      </c>
      <c r="M288" s="478">
        <f t="shared" si="101"/>
        <v>0</v>
      </c>
      <c r="N288" s="478">
        <f t="shared" si="101"/>
        <v>0</v>
      </c>
      <c r="O288" s="478"/>
      <c r="P288" s="478">
        <f t="shared" si="101"/>
        <v>0</v>
      </c>
      <c r="Q288" s="478">
        <f t="shared" si="101"/>
        <v>-25000000</v>
      </c>
      <c r="R288" s="478">
        <f t="shared" si="101"/>
        <v>0</v>
      </c>
      <c r="S288" s="478">
        <f t="shared" si="101"/>
        <v>0</v>
      </c>
      <c r="T288" s="478">
        <f t="shared" si="101"/>
        <v>779825884</v>
      </c>
      <c r="U288" s="478">
        <f t="shared" si="101"/>
        <v>1097291933</v>
      </c>
      <c r="V288" s="478">
        <f t="shared" si="101"/>
        <v>736367410</v>
      </c>
      <c r="W288" s="478">
        <f t="shared" si="101"/>
        <v>0</v>
      </c>
    </row>
    <row r="289" spans="1:23" s="468" customFormat="1" ht="14.25">
      <c r="A289" s="77"/>
      <c r="H289" s="478"/>
      <c r="I289" s="478"/>
      <c r="J289" s="478"/>
      <c r="K289" s="478"/>
      <c r="L289" s="478"/>
      <c r="M289" s="478"/>
      <c r="N289" s="478"/>
      <c r="O289" s="478"/>
      <c r="P289" s="478"/>
      <c r="Q289" s="478"/>
      <c r="R289" s="478"/>
      <c r="S289" s="478"/>
      <c r="T289" s="478"/>
      <c r="U289" s="478"/>
      <c r="V289" s="478"/>
      <c r="W289" s="478"/>
    </row>
    <row r="290" spans="1:23" s="468" customFormat="1" ht="14.25">
      <c r="A290" s="77"/>
      <c r="H290" s="478"/>
      <c r="I290" s="478"/>
      <c r="J290" s="478"/>
      <c r="K290" s="478"/>
      <c r="L290" s="478"/>
      <c r="M290" s="478"/>
      <c r="N290" s="478"/>
      <c r="O290" s="478"/>
      <c r="P290" s="478"/>
      <c r="Q290" s="478"/>
      <c r="R290" s="478"/>
      <c r="S290" s="478"/>
      <c r="T290" s="478"/>
      <c r="U290" s="478"/>
      <c r="V290" s="478"/>
      <c r="W290" s="478"/>
    </row>
    <row r="291" spans="1:23" s="468" customFormat="1" ht="14.25">
      <c r="A291" s="77"/>
      <c r="H291" s="478"/>
      <c r="I291" s="478"/>
      <c r="J291" s="478"/>
      <c r="K291" s="478"/>
      <c r="L291" s="478"/>
      <c r="M291" s="478"/>
      <c r="N291" s="478"/>
      <c r="O291" s="478"/>
      <c r="P291" s="478"/>
      <c r="Q291" s="478"/>
      <c r="R291" s="478"/>
      <c r="S291" s="478"/>
      <c r="T291" s="478"/>
      <c r="U291" s="478"/>
      <c r="V291" s="478"/>
      <c r="W291" s="478"/>
    </row>
    <row r="292" spans="18:19" ht="14.25">
      <c r="R292" s="475">
        <v>2481643</v>
      </c>
      <c r="S292" s="474">
        <f>+HOJA!D171</f>
        <v>0</v>
      </c>
    </row>
    <row r="293" spans="6:23" s="263" customFormat="1" ht="15.75">
      <c r="F293" s="518" t="s">
        <v>509</v>
      </c>
      <c r="G293" s="518"/>
      <c r="H293" s="518"/>
      <c r="I293" s="518" t="s">
        <v>518</v>
      </c>
      <c r="J293" s="518"/>
      <c r="K293" s="518"/>
      <c r="L293" s="518"/>
      <c r="M293" s="518"/>
      <c r="N293" s="518"/>
      <c r="O293" s="518"/>
      <c r="P293" s="518"/>
      <c r="Q293" s="518"/>
      <c r="R293" s="265"/>
      <c r="S293" s="265"/>
      <c r="T293" s="518" t="s">
        <v>542</v>
      </c>
      <c r="U293" s="518"/>
      <c r="V293" s="266"/>
      <c r="W293" s="267"/>
    </row>
    <row r="294" spans="2:21" s="262" customFormat="1" ht="15.75">
      <c r="B294" s="268"/>
      <c r="C294" s="268"/>
      <c r="D294" s="268"/>
      <c r="E294" s="268"/>
      <c r="F294" s="522" t="s">
        <v>498</v>
      </c>
      <c r="G294" s="522"/>
      <c r="H294" s="522"/>
      <c r="I294" s="522" t="s">
        <v>477</v>
      </c>
      <c r="J294" s="522"/>
      <c r="K294" s="522"/>
      <c r="L294" s="522"/>
      <c r="M294" s="522"/>
      <c r="N294" s="522"/>
      <c r="O294" s="522"/>
      <c r="P294" s="522"/>
      <c r="Q294" s="522"/>
      <c r="R294" s="268"/>
      <c r="S294" s="268"/>
      <c r="T294" s="522" t="s">
        <v>516</v>
      </c>
      <c r="U294" s="522"/>
    </row>
    <row r="298" ht="14.25"/>
    <row r="299" ht="14.25"/>
    <row r="300" ht="14.25"/>
  </sheetData>
  <sheetProtection/>
  <mergeCells count="24">
    <mergeCell ref="V16:W16"/>
    <mergeCell ref="P17:S17"/>
    <mergeCell ref="O17:O18"/>
    <mergeCell ref="B17:F17"/>
    <mergeCell ref="G17:G18"/>
    <mergeCell ref="H17:H18"/>
    <mergeCell ref="I17:I18"/>
    <mergeCell ref="T294:U294"/>
    <mergeCell ref="I294:Q294"/>
    <mergeCell ref="F294:H294"/>
    <mergeCell ref="F293:H293"/>
    <mergeCell ref="I293:Q293"/>
    <mergeCell ref="U17:U18"/>
    <mergeCell ref="K17:N17"/>
    <mergeCell ref="G3:U3"/>
    <mergeCell ref="T293:U293"/>
    <mergeCell ref="V17:V18"/>
    <mergeCell ref="W17:W18"/>
    <mergeCell ref="J17:J18"/>
    <mergeCell ref="G4:U4"/>
    <mergeCell ref="G5:U5"/>
    <mergeCell ref="V11:W11"/>
    <mergeCell ref="T17:T18"/>
    <mergeCell ref="V15:W15"/>
  </mergeCells>
  <printOptions horizontalCentered="1" verticalCentered="1"/>
  <pageMargins left="0.68" right="0.58" top="0.3937007874015748" bottom="0.8" header="0.1968503937007874" footer="0.35433070866141736"/>
  <pageSetup horizontalDpi="600" verticalDpi="600" orientation="landscape" paperSize="5" scale="70" r:id="rId3"/>
  <headerFooter alignWithMargins="0">
    <oddFooter>&amp;CPágina &amp;P</oddFooter>
  </headerFooter>
  <rowBreaks count="3" manualBreakCount="3">
    <brk id="72" max="255" man="1"/>
    <brk id="134" max="255" man="1"/>
    <brk id="189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Z172"/>
  <sheetViews>
    <sheetView zoomScalePageLayoutView="70" workbookViewId="0" topLeftCell="D6">
      <pane xSplit="5268" ySplit="1068" topLeftCell="O150" activePane="bottomLeft" state="split"/>
      <selection pane="topLeft" activeCell="G6" sqref="G6:G7"/>
      <selection pane="topRight" activeCell="T6" sqref="T1:T16384"/>
      <selection pane="bottomLeft" activeCell="G150" sqref="G150"/>
      <selection pane="bottomRight" activeCell="Q159" sqref="Q159"/>
    </sheetView>
  </sheetViews>
  <sheetFormatPr defaultColWidth="11.421875" defaultRowHeight="12.75"/>
  <cols>
    <col min="1" max="1" width="3.00390625" style="70" customWidth="1"/>
    <col min="2" max="2" width="4.57421875" style="56" customWidth="1"/>
    <col min="3" max="3" width="5.28125" style="56" bestFit="1" customWidth="1"/>
    <col min="4" max="4" width="5.57421875" style="56" bestFit="1" customWidth="1"/>
    <col min="5" max="5" width="3.7109375" style="56" bestFit="1" customWidth="1"/>
    <col min="6" max="6" width="3.57421875" style="56" bestFit="1" customWidth="1"/>
    <col min="7" max="7" width="37.421875" style="125" customWidth="1"/>
    <col min="8" max="8" width="14.7109375" style="11" customWidth="1"/>
    <col min="9" max="10" width="13.7109375" style="11" customWidth="1"/>
    <col min="11" max="11" width="13.8515625" style="11" hidden="1" customWidth="1"/>
    <col min="12" max="12" width="12.00390625" style="11" hidden="1" customWidth="1"/>
    <col min="13" max="13" width="13.8515625" style="11" hidden="1" customWidth="1"/>
    <col min="14" max="14" width="10.8515625" style="11" hidden="1" customWidth="1"/>
    <col min="15" max="15" width="16.57421875" style="11" bestFit="1" customWidth="1"/>
    <col min="16" max="16" width="11.140625" style="11" bestFit="1" customWidth="1"/>
    <col min="17" max="17" width="12.7109375" style="11" bestFit="1" customWidth="1"/>
    <col min="18" max="18" width="10.8515625" style="11" bestFit="1" customWidth="1"/>
    <col min="19" max="19" width="12.28125" style="443" bestFit="1" customWidth="1"/>
    <col min="20" max="20" width="12.421875" style="11" customWidth="1"/>
    <col min="21" max="21" width="12.8515625" style="72" customWidth="1"/>
    <col min="22" max="22" width="7.421875" style="11" customWidth="1"/>
    <col min="23" max="23" width="3.00390625" style="11" customWidth="1"/>
    <col min="24" max="16384" width="11.421875" style="11" customWidth="1"/>
  </cols>
  <sheetData>
    <row r="1" spans="2:22" s="12" customFormat="1" ht="13.5">
      <c r="B1" s="127"/>
      <c r="C1" s="127"/>
      <c r="D1" s="127"/>
      <c r="E1" s="127"/>
      <c r="F1" s="127"/>
      <c r="G1" s="128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429"/>
      <c r="T1" s="127"/>
      <c r="U1" s="127"/>
      <c r="V1" s="48"/>
    </row>
    <row r="2" spans="2:22" s="245" customFormat="1" ht="24">
      <c r="B2" s="249" t="s">
        <v>476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430"/>
      <c r="T2" s="246"/>
      <c r="U2" s="246"/>
      <c r="V2" s="247"/>
    </row>
    <row r="3" spans="2:22" s="248" customFormat="1" ht="18">
      <c r="B3" s="166" t="s">
        <v>524</v>
      </c>
      <c r="C3" s="167"/>
      <c r="D3" s="167"/>
      <c r="E3" s="167"/>
      <c r="F3" s="167"/>
      <c r="G3" s="167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431"/>
      <c r="T3" s="239"/>
      <c r="U3" s="574"/>
      <c r="V3" s="575"/>
    </row>
    <row r="4" spans="2:22" s="73" customFormat="1" ht="26.25">
      <c r="B4" s="568" t="s">
        <v>282</v>
      </c>
      <c r="C4" s="569"/>
      <c r="D4" s="49">
        <v>30</v>
      </c>
      <c r="E4" s="570" t="s">
        <v>281</v>
      </c>
      <c r="F4" s="570"/>
      <c r="G4" s="271" t="s">
        <v>505</v>
      </c>
      <c r="H4" s="287"/>
      <c r="I4" s="49"/>
      <c r="J4" s="49"/>
      <c r="K4" s="293"/>
      <c r="L4" s="293"/>
      <c r="M4" s="293"/>
      <c r="N4" s="293"/>
      <c r="O4" s="293"/>
      <c r="P4" s="49"/>
      <c r="Q4" s="49"/>
      <c r="R4" s="49"/>
      <c r="S4" s="432"/>
      <c r="T4" s="293"/>
      <c r="U4" s="151"/>
      <c r="V4" s="152"/>
    </row>
    <row r="5" spans="2:22" s="153" customFormat="1" ht="3.75">
      <c r="B5" s="154"/>
      <c r="C5" s="155"/>
      <c r="D5" s="155"/>
      <c r="E5" s="155"/>
      <c r="F5" s="155"/>
      <c r="G5" s="272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433"/>
      <c r="T5" s="155"/>
      <c r="U5" s="155"/>
      <c r="V5" s="157"/>
    </row>
    <row r="6" spans="1:22" s="56" customFormat="1" ht="15" customHeight="1">
      <c r="A6" s="55"/>
      <c r="B6" s="576" t="s">
        <v>11</v>
      </c>
      <c r="C6" s="577"/>
      <c r="D6" s="577"/>
      <c r="E6" s="577"/>
      <c r="F6" s="578"/>
      <c r="G6" s="581" t="s">
        <v>12</v>
      </c>
      <c r="H6" s="571" t="s">
        <v>230</v>
      </c>
      <c r="I6" s="571" t="s">
        <v>280</v>
      </c>
      <c r="J6" s="571" t="s">
        <v>223</v>
      </c>
      <c r="K6" s="583" t="s">
        <v>247</v>
      </c>
      <c r="L6" s="584"/>
      <c r="M6" s="584"/>
      <c r="N6" s="584"/>
      <c r="O6" s="127"/>
      <c r="P6" s="273"/>
      <c r="Q6" s="273"/>
      <c r="R6" s="273"/>
      <c r="S6" s="434"/>
      <c r="T6" s="571" t="s">
        <v>239</v>
      </c>
      <c r="U6" s="571" t="s">
        <v>240</v>
      </c>
      <c r="V6" s="579" t="s">
        <v>13</v>
      </c>
    </row>
    <row r="7" spans="1:22" s="56" customFormat="1" ht="24">
      <c r="A7" s="57"/>
      <c r="B7" s="25" t="s">
        <v>288</v>
      </c>
      <c r="C7" s="25" t="s">
        <v>160</v>
      </c>
      <c r="D7" s="25" t="s">
        <v>289</v>
      </c>
      <c r="E7" s="25" t="s">
        <v>83</v>
      </c>
      <c r="F7" s="25" t="s">
        <v>84</v>
      </c>
      <c r="G7" s="582"/>
      <c r="H7" s="572"/>
      <c r="I7" s="572"/>
      <c r="J7" s="572"/>
      <c r="K7" s="38">
        <v>42370</v>
      </c>
      <c r="L7" s="38">
        <v>42401</v>
      </c>
      <c r="M7" s="38">
        <v>42430</v>
      </c>
      <c r="N7" s="38">
        <v>42461</v>
      </c>
      <c r="O7" s="246"/>
      <c r="P7" s="38">
        <v>42125</v>
      </c>
      <c r="Q7" s="38">
        <v>42156</v>
      </c>
      <c r="R7" s="54" t="s">
        <v>514</v>
      </c>
      <c r="S7" s="435" t="s">
        <v>540</v>
      </c>
      <c r="T7" s="572"/>
      <c r="U7" s="572"/>
      <c r="V7" s="580"/>
    </row>
    <row r="8" spans="1:22" s="165" customFormat="1" ht="27">
      <c r="A8" s="274"/>
      <c r="B8" s="31"/>
      <c r="C8" s="31"/>
      <c r="D8" s="32"/>
      <c r="E8" s="32"/>
      <c r="F8" s="32"/>
      <c r="G8" s="270" t="s">
        <v>85</v>
      </c>
      <c r="H8" s="52">
        <f aca="true" t="shared" si="0" ref="H8:U8">H9+H121+H140</f>
        <v>3822599423</v>
      </c>
      <c r="I8" s="52">
        <f t="shared" si="0"/>
        <v>232653978</v>
      </c>
      <c r="J8" s="52">
        <f t="shared" si="0"/>
        <v>4055253401</v>
      </c>
      <c r="K8" s="52">
        <f t="shared" si="0"/>
        <v>331716165</v>
      </c>
      <c r="L8" s="52">
        <f t="shared" si="0"/>
        <v>74047685</v>
      </c>
      <c r="M8" s="52">
        <f>M9+M121+M140</f>
        <v>753146560</v>
      </c>
      <c r="N8" s="52">
        <f t="shared" si="0"/>
        <v>311229805</v>
      </c>
      <c r="O8" s="52">
        <f>SUM(K8:N8)</f>
        <v>1470140215</v>
      </c>
      <c r="P8" s="52">
        <f t="shared" si="0"/>
        <v>346559585</v>
      </c>
      <c r="Q8" s="52">
        <f>Q9+Q121+Q140</f>
        <v>8831284</v>
      </c>
      <c r="R8" s="52">
        <f>R9+R121+R140</f>
        <v>756626122</v>
      </c>
      <c r="S8" s="52">
        <f>S9+S121+S140</f>
        <v>256320040</v>
      </c>
      <c r="T8" s="52">
        <f>SUM(O8:S8)</f>
        <v>2838477246</v>
      </c>
      <c r="U8" s="52">
        <f t="shared" si="0"/>
        <v>2838477246</v>
      </c>
      <c r="V8" s="53">
        <f aca="true" t="shared" si="1" ref="V8:V19">U8*100/J8</f>
        <v>69.99506480408967</v>
      </c>
    </row>
    <row r="9" spans="1:22" s="12" customFormat="1" ht="20.25">
      <c r="A9" s="150"/>
      <c r="B9" s="9">
        <v>100</v>
      </c>
      <c r="C9" s="9"/>
      <c r="D9" s="10"/>
      <c r="E9" s="10"/>
      <c r="F9" s="10"/>
      <c r="G9" s="275" t="s">
        <v>86</v>
      </c>
      <c r="H9" s="4">
        <f aca="true" t="shared" si="2" ref="H9:U9">H10+H40+H58+H79+H88+H109+H116</f>
        <v>2264041303</v>
      </c>
      <c r="I9" s="502">
        <f t="shared" si="2"/>
        <v>-31698101</v>
      </c>
      <c r="J9" s="4">
        <f t="shared" si="2"/>
        <v>2232343202</v>
      </c>
      <c r="K9" s="4">
        <f t="shared" si="2"/>
        <v>67049633</v>
      </c>
      <c r="L9" s="4">
        <f t="shared" si="2"/>
        <v>74047685</v>
      </c>
      <c r="M9" s="4">
        <f t="shared" si="2"/>
        <v>345605913</v>
      </c>
      <c r="N9" s="4">
        <f t="shared" si="2"/>
        <v>78575827</v>
      </c>
      <c r="O9" s="4">
        <f aca="true" t="shared" si="3" ref="O9:O72">SUM(K9:N9)</f>
        <v>565279058</v>
      </c>
      <c r="P9" s="4">
        <f t="shared" si="2"/>
        <v>346559585</v>
      </c>
      <c r="Q9" s="4">
        <f>Q10+Q40+Q58+Q79+Q88+Q109+Q116</f>
        <v>8831284</v>
      </c>
      <c r="R9" s="4">
        <f>R10+R40+R58+R79+R88+R109+R116</f>
        <v>222848747</v>
      </c>
      <c r="S9" s="4">
        <f>S10+S40+S58+S79+S88+S109+S116</f>
        <v>165252867</v>
      </c>
      <c r="T9" s="4">
        <f aca="true" t="shared" si="4" ref="T9:T72">SUM(O9:S9)</f>
        <v>1308771541</v>
      </c>
      <c r="U9" s="4">
        <f t="shared" si="2"/>
        <v>1308771541</v>
      </c>
      <c r="V9" s="6">
        <f t="shared" si="1"/>
        <v>58.627702936871266</v>
      </c>
    </row>
    <row r="10" spans="1:22" s="59" customFormat="1" ht="14.25">
      <c r="A10" s="276"/>
      <c r="B10" s="1"/>
      <c r="C10" s="1">
        <v>110</v>
      </c>
      <c r="D10" s="2"/>
      <c r="E10" s="2"/>
      <c r="F10" s="2"/>
      <c r="G10" s="29" t="s">
        <v>87</v>
      </c>
      <c r="H10" s="4">
        <f aca="true" t="shared" si="5" ref="H10:U10">H11+H21+H33</f>
        <v>1585691286</v>
      </c>
      <c r="I10" s="4">
        <f t="shared" si="5"/>
        <v>0</v>
      </c>
      <c r="J10" s="4">
        <f t="shared" si="5"/>
        <v>1585691286</v>
      </c>
      <c r="K10" s="4">
        <f t="shared" si="5"/>
        <v>610000</v>
      </c>
      <c r="L10" s="4">
        <f t="shared" si="5"/>
        <v>68943374</v>
      </c>
      <c r="M10" s="4">
        <f t="shared" si="5"/>
        <v>197228244</v>
      </c>
      <c r="N10" s="4">
        <f t="shared" si="5"/>
        <v>73942300</v>
      </c>
      <c r="O10" s="4">
        <f>SUM(K10:N10)</f>
        <v>340723918</v>
      </c>
      <c r="P10" s="4">
        <f t="shared" si="5"/>
        <v>330438170</v>
      </c>
      <c r="Q10" s="4">
        <f>Q11+Q21+Q33</f>
        <v>8127677</v>
      </c>
      <c r="R10" s="4">
        <f>R11+R21+R33</f>
        <v>40176000</v>
      </c>
      <c r="S10" s="4">
        <f>S11+S21+S33</f>
        <v>118702169</v>
      </c>
      <c r="T10" s="4">
        <f t="shared" si="4"/>
        <v>838167934</v>
      </c>
      <c r="U10" s="4">
        <f t="shared" si="5"/>
        <v>838167934</v>
      </c>
      <c r="V10" s="6">
        <f t="shared" si="1"/>
        <v>52.8582039518126</v>
      </c>
    </row>
    <row r="11" spans="1:22" s="59" customFormat="1" ht="13.5">
      <c r="A11" s="58"/>
      <c r="B11" s="1"/>
      <c r="C11" s="1"/>
      <c r="D11" s="1">
        <v>112</v>
      </c>
      <c r="E11" s="1"/>
      <c r="F11" s="1"/>
      <c r="G11" s="29" t="s">
        <v>88</v>
      </c>
      <c r="H11" s="4">
        <f aca="true" t="shared" si="6" ref="H11:N11">SUM(H12:H19)</f>
        <v>1327500000</v>
      </c>
      <c r="I11" s="4">
        <f t="shared" si="6"/>
        <v>0</v>
      </c>
      <c r="J11" s="4">
        <f t="shared" si="6"/>
        <v>1327500000</v>
      </c>
      <c r="K11" s="4">
        <f t="shared" si="6"/>
        <v>0</v>
      </c>
      <c r="L11" s="4">
        <f t="shared" si="6"/>
        <v>62263064</v>
      </c>
      <c r="M11" s="4">
        <f t="shared" si="6"/>
        <v>178047262</v>
      </c>
      <c r="N11" s="4">
        <f t="shared" si="6"/>
        <v>67723268</v>
      </c>
      <c r="O11" s="4">
        <f t="shared" si="3"/>
        <v>308033594</v>
      </c>
      <c r="P11" s="4">
        <f aca="true" t="shared" si="7" ref="P11:U11">SUM(P12:P19)</f>
        <v>302490270</v>
      </c>
      <c r="Q11" s="4">
        <f t="shared" si="7"/>
        <v>3439748</v>
      </c>
      <c r="R11" s="4">
        <f t="shared" si="7"/>
        <v>34804000</v>
      </c>
      <c r="S11" s="4">
        <f t="shared" si="7"/>
        <v>106658254</v>
      </c>
      <c r="T11" s="4">
        <f t="shared" si="4"/>
        <v>755425866</v>
      </c>
      <c r="U11" s="4">
        <f t="shared" si="7"/>
        <v>755425866</v>
      </c>
      <c r="V11" s="6">
        <f t="shared" si="1"/>
        <v>56.905903276836156</v>
      </c>
    </row>
    <row r="12" spans="1:24" s="59" customFormat="1" ht="13.5">
      <c r="A12" s="58"/>
      <c r="B12" s="1"/>
      <c r="C12" s="1"/>
      <c r="D12" s="2" t="s">
        <v>89</v>
      </c>
      <c r="E12" s="2" t="s">
        <v>21</v>
      </c>
      <c r="F12" s="2" t="s">
        <v>21</v>
      </c>
      <c r="G12" s="67" t="s">
        <v>90</v>
      </c>
      <c r="H12" s="15">
        <v>1000000000</v>
      </c>
      <c r="I12" s="15">
        <v>0</v>
      </c>
      <c r="J12" s="15">
        <f aca="true" t="shared" si="8" ref="J12:J19">H12+I12</f>
        <v>1000000000</v>
      </c>
      <c r="K12" s="15">
        <v>0</v>
      </c>
      <c r="L12" s="15">
        <v>57861640</v>
      </c>
      <c r="M12" s="15">
        <v>164989420</v>
      </c>
      <c r="N12" s="15">
        <v>62190320</v>
      </c>
      <c r="O12" s="15">
        <f t="shared" si="3"/>
        <v>285041380</v>
      </c>
      <c r="P12" s="15">
        <v>268581988</v>
      </c>
      <c r="Q12" s="15">
        <v>3236348</v>
      </c>
      <c r="R12" s="15">
        <f>+HOJA2!I54</f>
        <v>31640000</v>
      </c>
      <c r="S12" s="436">
        <f>+HOJA2!O28</f>
        <v>102412750</v>
      </c>
      <c r="T12" s="436">
        <f t="shared" si="4"/>
        <v>690912466</v>
      </c>
      <c r="U12" s="15">
        <f>T12</f>
        <v>690912466</v>
      </c>
      <c r="V12" s="6">
        <f t="shared" si="1"/>
        <v>69.0912466</v>
      </c>
      <c r="X12" s="294"/>
    </row>
    <row r="13" spans="1:22" s="59" customFormat="1" ht="13.5">
      <c r="A13" s="58"/>
      <c r="B13" s="1"/>
      <c r="C13" s="1"/>
      <c r="D13" s="2" t="s">
        <v>89</v>
      </c>
      <c r="E13" s="2" t="s">
        <v>55</v>
      </c>
      <c r="F13" s="2" t="s">
        <v>21</v>
      </c>
      <c r="G13" s="67" t="s">
        <v>91</v>
      </c>
      <c r="H13" s="15">
        <v>1500000</v>
      </c>
      <c r="I13" s="15">
        <v>0</v>
      </c>
      <c r="J13" s="15">
        <f t="shared" si="8"/>
        <v>1500000</v>
      </c>
      <c r="K13" s="15">
        <v>0</v>
      </c>
      <c r="L13" s="15">
        <v>0</v>
      </c>
      <c r="M13" s="15">
        <v>0</v>
      </c>
      <c r="N13" s="15">
        <v>0</v>
      </c>
      <c r="O13" s="15">
        <f t="shared" si="3"/>
        <v>0</v>
      </c>
      <c r="P13" s="15">
        <v>0</v>
      </c>
      <c r="Q13" s="324" t="s">
        <v>513</v>
      </c>
      <c r="R13" s="15">
        <f>+HOJA2!I56</f>
        <v>0</v>
      </c>
      <c r="S13" s="436"/>
      <c r="T13" s="436">
        <f t="shared" si="4"/>
        <v>0</v>
      </c>
      <c r="U13" s="15">
        <f aca="true" t="shared" si="9" ref="U13:U19">T13</f>
        <v>0</v>
      </c>
      <c r="V13" s="6">
        <f t="shared" si="1"/>
        <v>0</v>
      </c>
    </row>
    <row r="14" spans="1:22" s="59" customFormat="1" ht="20.25">
      <c r="A14" s="58"/>
      <c r="B14" s="1"/>
      <c r="C14" s="1"/>
      <c r="D14" s="2" t="s">
        <v>89</v>
      </c>
      <c r="E14" s="2" t="s">
        <v>61</v>
      </c>
      <c r="F14" s="2" t="s">
        <v>21</v>
      </c>
      <c r="G14" s="67" t="s">
        <v>221</v>
      </c>
      <c r="H14" s="15">
        <v>112500000</v>
      </c>
      <c r="I14" s="15">
        <v>0</v>
      </c>
      <c r="J14" s="15">
        <f t="shared" si="8"/>
        <v>112500000</v>
      </c>
      <c r="K14" s="324">
        <v>0</v>
      </c>
      <c r="L14" s="15">
        <v>4401424</v>
      </c>
      <c r="M14" s="15">
        <v>12677842</v>
      </c>
      <c r="N14" s="15">
        <v>5532948</v>
      </c>
      <c r="O14" s="15">
        <f t="shared" si="3"/>
        <v>22612214</v>
      </c>
      <c r="P14" s="15">
        <v>33553282</v>
      </c>
      <c r="Q14" s="15">
        <v>203400</v>
      </c>
      <c r="R14" s="15">
        <f>+HOJA2!I55</f>
        <v>3164000</v>
      </c>
      <c r="S14" s="436">
        <f>+HOJA2!O29</f>
        <v>4245504</v>
      </c>
      <c r="T14" s="436">
        <f t="shared" si="4"/>
        <v>63778400</v>
      </c>
      <c r="U14" s="15">
        <f t="shared" si="9"/>
        <v>63778400</v>
      </c>
      <c r="V14" s="6">
        <f t="shared" si="1"/>
        <v>56.69191111111111</v>
      </c>
    </row>
    <row r="15" spans="1:22" s="59" customFormat="1" ht="13.5">
      <c r="A15" s="58"/>
      <c r="B15" s="1"/>
      <c r="C15" s="1"/>
      <c r="D15" s="2" t="s">
        <v>89</v>
      </c>
      <c r="E15" s="2" t="s">
        <v>62</v>
      </c>
      <c r="F15" s="2" t="s">
        <v>21</v>
      </c>
      <c r="G15" s="67" t="s">
        <v>92</v>
      </c>
      <c r="H15" s="15">
        <v>20000000</v>
      </c>
      <c r="I15" s="15">
        <v>0</v>
      </c>
      <c r="J15" s="15">
        <f t="shared" si="8"/>
        <v>20000000</v>
      </c>
      <c r="K15" s="15">
        <v>0</v>
      </c>
      <c r="L15" s="15">
        <v>0</v>
      </c>
      <c r="M15" s="15">
        <v>380000</v>
      </c>
      <c r="N15" s="15">
        <v>0</v>
      </c>
      <c r="O15" s="15">
        <f t="shared" si="3"/>
        <v>380000</v>
      </c>
      <c r="P15" s="15">
        <v>355000</v>
      </c>
      <c r="Q15" s="15">
        <v>0</v>
      </c>
      <c r="R15" s="15"/>
      <c r="S15" s="436"/>
      <c r="T15" s="436">
        <f t="shared" si="4"/>
        <v>735000</v>
      </c>
      <c r="U15" s="15">
        <f t="shared" si="9"/>
        <v>735000</v>
      </c>
      <c r="V15" s="6">
        <f t="shared" si="1"/>
        <v>3.675</v>
      </c>
    </row>
    <row r="16" spans="1:22" s="59" customFormat="1" ht="13.5">
      <c r="A16" s="58"/>
      <c r="B16" s="1"/>
      <c r="C16" s="1"/>
      <c r="D16" s="2" t="s">
        <v>89</v>
      </c>
      <c r="E16" s="2" t="s">
        <v>93</v>
      </c>
      <c r="F16" s="2" t="s">
        <v>21</v>
      </c>
      <c r="G16" s="67" t="s">
        <v>94</v>
      </c>
      <c r="H16" s="15">
        <v>40000000</v>
      </c>
      <c r="I16" s="15">
        <v>0</v>
      </c>
      <c r="J16" s="15">
        <f t="shared" si="8"/>
        <v>40000000</v>
      </c>
      <c r="K16" s="15">
        <v>0</v>
      </c>
      <c r="L16" s="15">
        <v>0</v>
      </c>
      <c r="M16" s="15">
        <v>0</v>
      </c>
      <c r="N16" s="15">
        <v>0</v>
      </c>
      <c r="O16" s="15">
        <f t="shared" si="3"/>
        <v>0</v>
      </c>
      <c r="P16" s="15">
        <v>0</v>
      </c>
      <c r="Q16" s="15">
        <v>0</v>
      </c>
      <c r="R16" s="15"/>
      <c r="S16" s="436"/>
      <c r="T16" s="436">
        <f t="shared" si="4"/>
        <v>0</v>
      </c>
      <c r="U16" s="15">
        <f t="shared" si="9"/>
        <v>0</v>
      </c>
      <c r="V16" s="6">
        <f t="shared" si="1"/>
        <v>0</v>
      </c>
    </row>
    <row r="17" spans="1:22" s="59" customFormat="1" ht="13.5">
      <c r="A17" s="58"/>
      <c r="B17" s="1"/>
      <c r="C17" s="1"/>
      <c r="D17" s="2" t="s">
        <v>89</v>
      </c>
      <c r="E17" s="2" t="s">
        <v>33</v>
      </c>
      <c r="F17" s="2" t="s">
        <v>21</v>
      </c>
      <c r="G17" s="67" t="s">
        <v>95</v>
      </c>
      <c r="H17" s="15">
        <v>12000000</v>
      </c>
      <c r="I17" s="15">
        <v>0</v>
      </c>
      <c r="J17" s="15">
        <f t="shared" si="8"/>
        <v>12000000</v>
      </c>
      <c r="K17" s="15">
        <v>0</v>
      </c>
      <c r="L17" s="15">
        <v>0</v>
      </c>
      <c r="M17" s="15">
        <v>0</v>
      </c>
      <c r="N17" s="15">
        <v>0</v>
      </c>
      <c r="O17" s="15">
        <f t="shared" si="3"/>
        <v>0</v>
      </c>
      <c r="P17" s="15">
        <v>0</v>
      </c>
      <c r="Q17" s="15">
        <v>0</v>
      </c>
      <c r="R17" s="15"/>
      <c r="S17" s="436"/>
      <c r="T17" s="436">
        <f t="shared" si="4"/>
        <v>0</v>
      </c>
      <c r="U17" s="15">
        <f t="shared" si="9"/>
        <v>0</v>
      </c>
      <c r="V17" s="6">
        <f t="shared" si="1"/>
        <v>0</v>
      </c>
    </row>
    <row r="18" spans="1:22" s="59" customFormat="1" ht="13.5">
      <c r="A18" s="58"/>
      <c r="B18" s="1"/>
      <c r="C18" s="1"/>
      <c r="D18" s="2">
        <v>112</v>
      </c>
      <c r="E18" s="2" t="s">
        <v>58</v>
      </c>
      <c r="F18" s="2" t="s">
        <v>21</v>
      </c>
      <c r="G18" s="67" t="s">
        <v>158</v>
      </c>
      <c r="H18" s="15">
        <v>140000000</v>
      </c>
      <c r="I18" s="15">
        <v>0</v>
      </c>
      <c r="J18" s="15">
        <f t="shared" si="8"/>
        <v>140000000</v>
      </c>
      <c r="K18" s="15">
        <v>0</v>
      </c>
      <c r="L18" s="15">
        <v>0</v>
      </c>
      <c r="M18" s="15">
        <v>0</v>
      </c>
      <c r="N18" s="15">
        <v>0</v>
      </c>
      <c r="O18" s="15">
        <f t="shared" si="3"/>
        <v>0</v>
      </c>
      <c r="P18" s="15">
        <v>0</v>
      </c>
      <c r="Q18" s="15">
        <v>0</v>
      </c>
      <c r="R18" s="15"/>
      <c r="S18" s="436"/>
      <c r="T18" s="436">
        <f t="shared" si="4"/>
        <v>0</v>
      </c>
      <c r="U18" s="15">
        <f t="shared" si="9"/>
        <v>0</v>
      </c>
      <c r="V18" s="6">
        <f t="shared" si="1"/>
        <v>0</v>
      </c>
    </row>
    <row r="19" spans="1:22" s="59" customFormat="1" ht="13.5">
      <c r="A19" s="58"/>
      <c r="B19" s="1"/>
      <c r="C19" s="1"/>
      <c r="D19" s="2">
        <v>112</v>
      </c>
      <c r="E19" s="2" t="s">
        <v>63</v>
      </c>
      <c r="F19" s="2" t="s">
        <v>21</v>
      </c>
      <c r="G19" s="67" t="s">
        <v>96</v>
      </c>
      <c r="H19" s="15">
        <v>1500000</v>
      </c>
      <c r="I19" s="15">
        <v>0</v>
      </c>
      <c r="J19" s="15">
        <f t="shared" si="8"/>
        <v>1500000</v>
      </c>
      <c r="K19" s="15">
        <v>0</v>
      </c>
      <c r="L19" s="15">
        <v>0</v>
      </c>
      <c r="M19" s="15">
        <v>0</v>
      </c>
      <c r="N19" s="15">
        <v>0</v>
      </c>
      <c r="O19" s="15">
        <f t="shared" si="3"/>
        <v>0</v>
      </c>
      <c r="P19" s="15">
        <v>0</v>
      </c>
      <c r="Q19" s="15">
        <v>0</v>
      </c>
      <c r="R19" s="15"/>
      <c r="S19" s="436"/>
      <c r="T19" s="436">
        <f t="shared" si="4"/>
        <v>0</v>
      </c>
      <c r="U19" s="15">
        <f t="shared" si="9"/>
        <v>0</v>
      </c>
      <c r="V19" s="6">
        <f t="shared" si="1"/>
        <v>0</v>
      </c>
    </row>
    <row r="20" spans="1:22" s="60" customFormat="1" ht="9.75" customHeight="1">
      <c r="A20" s="58"/>
      <c r="B20" s="16"/>
      <c r="C20" s="16"/>
      <c r="D20" s="17"/>
      <c r="E20" s="17"/>
      <c r="F20" s="17"/>
      <c r="G20" s="68"/>
      <c r="H20" s="15"/>
      <c r="I20" s="15"/>
      <c r="J20" s="15"/>
      <c r="K20" s="19"/>
      <c r="L20" s="19"/>
      <c r="M20" s="19"/>
      <c r="N20" s="19"/>
      <c r="O20" s="19">
        <f t="shared" si="3"/>
        <v>0</v>
      </c>
      <c r="P20" s="19"/>
      <c r="Q20" s="19"/>
      <c r="R20" s="19"/>
      <c r="S20" s="437"/>
      <c r="T20" s="437">
        <f t="shared" si="4"/>
        <v>0</v>
      </c>
      <c r="U20" s="20"/>
      <c r="V20" s="22"/>
    </row>
    <row r="21" spans="1:22" s="59" customFormat="1" ht="13.5">
      <c r="A21" s="58"/>
      <c r="B21" s="1"/>
      <c r="C21" s="1"/>
      <c r="D21" s="1">
        <v>113</v>
      </c>
      <c r="E21" s="1"/>
      <c r="F21" s="1"/>
      <c r="G21" s="29" t="s">
        <v>159</v>
      </c>
      <c r="H21" s="4">
        <f>SUM(H22:H32)</f>
        <v>196856000</v>
      </c>
      <c r="I21" s="4">
        <f>SUM(I22:I32)</f>
        <v>0</v>
      </c>
      <c r="J21" s="4">
        <f>SUM(J22:J32)</f>
        <v>196856000</v>
      </c>
      <c r="K21" s="4">
        <f>SUM(K22:K31)</f>
        <v>610000</v>
      </c>
      <c r="L21" s="4">
        <f>SUM(L22:L32)</f>
        <v>0</v>
      </c>
      <c r="M21" s="4">
        <f>SUM(M22:M32)</f>
        <v>1114888</v>
      </c>
      <c r="N21" s="4">
        <f>SUM(N22:N32)</f>
        <v>0</v>
      </c>
      <c r="O21" s="4">
        <f t="shared" si="3"/>
        <v>1724888</v>
      </c>
      <c r="P21" s="4">
        <f>SUM(P22:P32)</f>
        <v>588400</v>
      </c>
      <c r="Q21" s="4">
        <f>SUM(Q22:Q32)</f>
        <v>4058200</v>
      </c>
      <c r="R21" s="4">
        <f>SUM(R22:R32)</f>
        <v>2208000</v>
      </c>
      <c r="S21" s="4">
        <f>SUM(S22:S32)</f>
        <v>1640200</v>
      </c>
      <c r="T21" s="4">
        <f t="shared" si="4"/>
        <v>10219688</v>
      </c>
      <c r="U21" s="4">
        <f>SUM(U22:U32)</f>
        <v>10219688</v>
      </c>
      <c r="V21" s="6">
        <f aca="true" t="shared" si="10" ref="V21:V31">U21*100/J21</f>
        <v>5.191453651400008</v>
      </c>
    </row>
    <row r="22" spans="1:22" s="59" customFormat="1" ht="20.25">
      <c r="A22" s="58"/>
      <c r="B22" s="1"/>
      <c r="C22" s="2"/>
      <c r="D22" s="2">
        <v>113</v>
      </c>
      <c r="E22" s="2" t="s">
        <v>93</v>
      </c>
      <c r="F22" s="2" t="s">
        <v>21</v>
      </c>
      <c r="G22" s="26" t="s">
        <v>318</v>
      </c>
      <c r="H22" s="15">
        <v>159456000</v>
      </c>
      <c r="I22" s="15">
        <v>0</v>
      </c>
      <c r="J22" s="15">
        <f aca="true" t="shared" si="11" ref="J22:J30">H22+I22</f>
        <v>159456000</v>
      </c>
      <c r="K22" s="15">
        <v>60000</v>
      </c>
      <c r="L22" s="15">
        <v>0</v>
      </c>
      <c r="M22" s="15">
        <v>1004888</v>
      </c>
      <c r="N22" s="15">
        <v>0</v>
      </c>
      <c r="O22" s="15">
        <f t="shared" si="3"/>
        <v>1064888</v>
      </c>
      <c r="P22" s="15">
        <v>92400</v>
      </c>
      <c r="Q22" s="15">
        <v>4042200</v>
      </c>
      <c r="R22" s="15">
        <f>+HOJA2!I56</f>
        <v>0</v>
      </c>
      <c r="S22" s="436">
        <f>+HOJA2!O30</f>
        <v>1624200</v>
      </c>
      <c r="T22" s="436">
        <f t="shared" si="4"/>
        <v>6823688</v>
      </c>
      <c r="U22" s="15">
        <f aca="true" t="shared" si="12" ref="U22:U31">T22</f>
        <v>6823688</v>
      </c>
      <c r="V22" s="6">
        <f t="shared" si="10"/>
        <v>4.279354806341561</v>
      </c>
    </row>
    <row r="23" spans="1:22" s="59" customFormat="1" ht="13.5">
      <c r="A23" s="58"/>
      <c r="B23" s="1"/>
      <c r="C23" s="2"/>
      <c r="D23" s="2">
        <v>113</v>
      </c>
      <c r="E23" s="2" t="s">
        <v>194</v>
      </c>
      <c r="F23" s="2" t="s">
        <v>21</v>
      </c>
      <c r="G23" s="26" t="s">
        <v>97</v>
      </c>
      <c r="H23" s="15">
        <v>6000000</v>
      </c>
      <c r="I23" s="15">
        <v>0</v>
      </c>
      <c r="J23" s="15">
        <f t="shared" si="11"/>
        <v>6000000</v>
      </c>
      <c r="K23" s="15">
        <v>6000</v>
      </c>
      <c r="L23" s="15">
        <v>0</v>
      </c>
      <c r="M23" s="15">
        <v>24000</v>
      </c>
      <c r="N23" s="15">
        <v>0</v>
      </c>
      <c r="O23" s="15">
        <f t="shared" si="3"/>
        <v>30000</v>
      </c>
      <c r="P23" s="15">
        <v>12000</v>
      </c>
      <c r="Q23" s="15">
        <v>6000</v>
      </c>
      <c r="R23" s="15"/>
      <c r="S23" s="436">
        <f>+HOJA2!O31</f>
        <v>6000</v>
      </c>
      <c r="T23" s="436">
        <f t="shared" si="4"/>
        <v>54000</v>
      </c>
      <c r="U23" s="15">
        <f t="shared" si="12"/>
        <v>54000</v>
      </c>
      <c r="V23" s="6">
        <f t="shared" si="10"/>
        <v>0.9</v>
      </c>
    </row>
    <row r="24" spans="1:22" s="59" customFormat="1" ht="20.25">
      <c r="A24" s="58"/>
      <c r="B24" s="24"/>
      <c r="C24" s="25"/>
      <c r="D24" s="25">
        <v>113</v>
      </c>
      <c r="E24" s="25" t="s">
        <v>65</v>
      </c>
      <c r="F24" s="25" t="s">
        <v>21</v>
      </c>
      <c r="G24" s="26" t="s">
        <v>317</v>
      </c>
      <c r="H24" s="27">
        <v>2000000</v>
      </c>
      <c r="I24" s="27">
        <v>0</v>
      </c>
      <c r="J24" s="27">
        <f t="shared" si="11"/>
        <v>2000000</v>
      </c>
      <c r="K24" s="15">
        <v>0</v>
      </c>
      <c r="L24" s="15">
        <v>0</v>
      </c>
      <c r="M24" s="15">
        <v>0</v>
      </c>
      <c r="N24" s="15">
        <v>0</v>
      </c>
      <c r="O24" s="15">
        <f t="shared" si="3"/>
        <v>0</v>
      </c>
      <c r="P24" s="15">
        <v>100000</v>
      </c>
      <c r="Q24" s="15">
        <v>0</v>
      </c>
      <c r="R24" s="15"/>
      <c r="S24" s="436"/>
      <c r="T24" s="436">
        <f t="shared" si="4"/>
        <v>100000</v>
      </c>
      <c r="U24" s="15">
        <f t="shared" si="12"/>
        <v>100000</v>
      </c>
      <c r="V24" s="6">
        <f t="shared" si="10"/>
        <v>5</v>
      </c>
    </row>
    <row r="25" spans="1:22" s="59" customFormat="1" ht="13.5">
      <c r="A25" s="58"/>
      <c r="B25" s="24"/>
      <c r="C25" s="25"/>
      <c r="D25" s="25">
        <v>113</v>
      </c>
      <c r="E25" s="25" t="s">
        <v>98</v>
      </c>
      <c r="F25" s="25" t="s">
        <v>21</v>
      </c>
      <c r="G25" s="26" t="s">
        <v>271</v>
      </c>
      <c r="H25" s="27">
        <v>1200000</v>
      </c>
      <c r="I25" s="27">
        <v>0</v>
      </c>
      <c r="J25" s="27">
        <f t="shared" si="11"/>
        <v>1200000</v>
      </c>
      <c r="K25" s="15">
        <v>0</v>
      </c>
      <c r="L25" s="15">
        <v>0</v>
      </c>
      <c r="M25" s="15">
        <v>0</v>
      </c>
      <c r="N25" s="15">
        <v>0</v>
      </c>
      <c r="O25" s="15">
        <f t="shared" si="3"/>
        <v>0</v>
      </c>
      <c r="P25" s="15">
        <v>0</v>
      </c>
      <c r="Q25" s="15">
        <v>0</v>
      </c>
      <c r="R25" s="15"/>
      <c r="S25" s="436"/>
      <c r="T25" s="436">
        <f t="shared" si="4"/>
        <v>0</v>
      </c>
      <c r="U25" s="15">
        <f t="shared" si="12"/>
        <v>0</v>
      </c>
      <c r="V25" s="6">
        <f t="shared" si="10"/>
        <v>0</v>
      </c>
    </row>
    <row r="26" spans="1:22" s="59" customFormat="1" ht="20.25">
      <c r="A26" s="58"/>
      <c r="B26" s="1"/>
      <c r="C26" s="25"/>
      <c r="D26" s="25">
        <v>113</v>
      </c>
      <c r="E26" s="25" t="s">
        <v>99</v>
      </c>
      <c r="F26" s="25" t="s">
        <v>21</v>
      </c>
      <c r="G26" s="26" t="s">
        <v>2</v>
      </c>
      <c r="H26" s="27">
        <v>600000</v>
      </c>
      <c r="I26" s="27">
        <v>0</v>
      </c>
      <c r="J26" s="27">
        <f t="shared" si="11"/>
        <v>600000</v>
      </c>
      <c r="K26" s="15">
        <v>0</v>
      </c>
      <c r="L26" s="15">
        <v>0</v>
      </c>
      <c r="M26" s="15">
        <v>0</v>
      </c>
      <c r="N26" s="15">
        <v>0</v>
      </c>
      <c r="O26" s="15">
        <f t="shared" si="3"/>
        <v>0</v>
      </c>
      <c r="P26" s="15">
        <v>0</v>
      </c>
      <c r="Q26" s="15">
        <v>0</v>
      </c>
      <c r="R26" s="15"/>
      <c r="S26" s="436"/>
      <c r="T26" s="436">
        <f t="shared" si="4"/>
        <v>0</v>
      </c>
      <c r="U26" s="15">
        <f t="shared" si="12"/>
        <v>0</v>
      </c>
      <c r="V26" s="6">
        <f t="shared" si="10"/>
        <v>0</v>
      </c>
    </row>
    <row r="27" spans="1:22" s="59" customFormat="1" ht="13.5">
      <c r="A27" s="58"/>
      <c r="B27" s="1"/>
      <c r="C27" s="2"/>
      <c r="D27" s="2">
        <v>113</v>
      </c>
      <c r="E27" s="2" t="s">
        <v>101</v>
      </c>
      <c r="F27" s="2" t="s">
        <v>21</v>
      </c>
      <c r="G27" s="26" t="s">
        <v>1</v>
      </c>
      <c r="H27" s="27">
        <v>6000000</v>
      </c>
      <c r="I27" s="15">
        <v>0</v>
      </c>
      <c r="J27" s="15">
        <f t="shared" si="11"/>
        <v>6000000</v>
      </c>
      <c r="K27" s="15">
        <v>0</v>
      </c>
      <c r="L27" s="15">
        <v>0</v>
      </c>
      <c r="M27" s="15">
        <v>0</v>
      </c>
      <c r="N27" s="15">
        <v>0</v>
      </c>
      <c r="O27" s="15">
        <f t="shared" si="3"/>
        <v>0</v>
      </c>
      <c r="P27" s="15">
        <v>0</v>
      </c>
      <c r="Q27" s="15">
        <v>0</v>
      </c>
      <c r="R27" s="15"/>
      <c r="S27" s="436"/>
      <c r="T27" s="436">
        <f t="shared" si="4"/>
        <v>0</v>
      </c>
      <c r="U27" s="15">
        <f t="shared" si="12"/>
        <v>0</v>
      </c>
      <c r="V27" s="6">
        <f t="shared" si="10"/>
        <v>0</v>
      </c>
    </row>
    <row r="28" spans="1:22" s="59" customFormat="1" ht="13.5">
      <c r="A28" s="58"/>
      <c r="B28" s="1"/>
      <c r="C28" s="2"/>
      <c r="D28" s="2">
        <v>113</v>
      </c>
      <c r="E28" s="2" t="s">
        <v>102</v>
      </c>
      <c r="F28" s="2" t="s">
        <v>21</v>
      </c>
      <c r="G28" s="26" t="s">
        <v>100</v>
      </c>
      <c r="H28" s="15">
        <v>12000000</v>
      </c>
      <c r="I28" s="15">
        <v>0</v>
      </c>
      <c r="J28" s="15">
        <f t="shared" si="11"/>
        <v>12000000</v>
      </c>
      <c r="K28" s="15">
        <v>480000</v>
      </c>
      <c r="L28" s="15">
        <v>0</v>
      </c>
      <c r="M28" s="15">
        <v>0</v>
      </c>
      <c r="N28" s="15">
        <v>0</v>
      </c>
      <c r="O28" s="15">
        <f t="shared" si="3"/>
        <v>480000</v>
      </c>
      <c r="P28" s="15">
        <v>300000</v>
      </c>
      <c r="Q28" s="15">
        <v>0</v>
      </c>
      <c r="R28" s="15"/>
      <c r="S28" s="436"/>
      <c r="T28" s="436">
        <f t="shared" si="4"/>
        <v>780000</v>
      </c>
      <c r="U28" s="15">
        <f t="shared" si="12"/>
        <v>780000</v>
      </c>
      <c r="V28" s="6">
        <f t="shared" si="10"/>
        <v>6.5</v>
      </c>
    </row>
    <row r="29" spans="1:22" s="159" customFormat="1" ht="20.25">
      <c r="A29" s="158"/>
      <c r="B29" s="24"/>
      <c r="C29" s="25"/>
      <c r="D29" s="25">
        <v>113</v>
      </c>
      <c r="E29" s="25" t="s">
        <v>103</v>
      </c>
      <c r="F29" s="25" t="s">
        <v>21</v>
      </c>
      <c r="G29" s="26" t="s">
        <v>248</v>
      </c>
      <c r="H29" s="27">
        <v>6000000</v>
      </c>
      <c r="I29" s="27">
        <v>0</v>
      </c>
      <c r="J29" s="27">
        <f t="shared" si="11"/>
        <v>6000000</v>
      </c>
      <c r="K29" s="15">
        <v>32000</v>
      </c>
      <c r="L29" s="15">
        <v>0</v>
      </c>
      <c r="M29" s="15">
        <v>0</v>
      </c>
      <c r="N29" s="15">
        <v>0</v>
      </c>
      <c r="O29" s="15">
        <f t="shared" si="3"/>
        <v>32000</v>
      </c>
      <c r="P29" s="15">
        <v>20000</v>
      </c>
      <c r="Q29" s="15">
        <v>0</v>
      </c>
      <c r="R29" s="15">
        <f>+HOJA2!I58</f>
        <v>138000</v>
      </c>
      <c r="S29" s="438"/>
      <c r="T29" s="438">
        <f t="shared" si="4"/>
        <v>190000</v>
      </c>
      <c r="U29" s="15">
        <f t="shared" si="12"/>
        <v>190000</v>
      </c>
      <c r="V29" s="6">
        <f t="shared" si="10"/>
        <v>3.1666666666666665</v>
      </c>
    </row>
    <row r="30" spans="1:22" s="59" customFormat="1" ht="13.5">
      <c r="A30" s="58"/>
      <c r="B30" s="1"/>
      <c r="C30" s="2"/>
      <c r="D30" s="2">
        <v>113</v>
      </c>
      <c r="E30" s="2" t="s">
        <v>214</v>
      </c>
      <c r="F30" s="2" t="s">
        <v>21</v>
      </c>
      <c r="G30" s="26" t="s">
        <v>272</v>
      </c>
      <c r="H30" s="15">
        <v>2400000</v>
      </c>
      <c r="I30" s="15">
        <v>0</v>
      </c>
      <c r="J30" s="15">
        <f t="shared" si="11"/>
        <v>2400000</v>
      </c>
      <c r="K30" s="15">
        <v>32000</v>
      </c>
      <c r="L30" s="15">
        <v>0</v>
      </c>
      <c r="M30" s="15">
        <v>86000</v>
      </c>
      <c r="N30" s="15">
        <v>0</v>
      </c>
      <c r="O30" s="15">
        <f t="shared" si="3"/>
        <v>118000</v>
      </c>
      <c r="P30" s="15">
        <v>64000</v>
      </c>
      <c r="Q30" s="15">
        <v>10000</v>
      </c>
      <c r="R30" s="15">
        <f>+HOJA2!I59</f>
        <v>2070000</v>
      </c>
      <c r="S30" s="436">
        <f>+HOJA2!O32</f>
        <v>10000</v>
      </c>
      <c r="T30" s="436">
        <f t="shared" si="4"/>
        <v>2272000</v>
      </c>
      <c r="U30" s="15">
        <f t="shared" si="12"/>
        <v>2272000</v>
      </c>
      <c r="V30" s="6">
        <f t="shared" si="10"/>
        <v>94.66666666666667</v>
      </c>
    </row>
    <row r="31" spans="1:22" s="59" customFormat="1" ht="13.5">
      <c r="A31" s="58"/>
      <c r="B31" s="1"/>
      <c r="C31" s="2"/>
      <c r="D31" s="2">
        <v>113</v>
      </c>
      <c r="E31" s="2" t="s">
        <v>117</v>
      </c>
      <c r="F31" s="2" t="s">
        <v>21</v>
      </c>
      <c r="G31" s="26" t="s">
        <v>104</v>
      </c>
      <c r="H31" s="15">
        <v>1200000</v>
      </c>
      <c r="I31" s="15">
        <v>0</v>
      </c>
      <c r="J31" s="15">
        <f>H31+I31</f>
        <v>1200000</v>
      </c>
      <c r="K31" s="15">
        <v>0</v>
      </c>
      <c r="L31" s="15">
        <v>0</v>
      </c>
      <c r="M31" s="15">
        <v>0</v>
      </c>
      <c r="N31" s="15">
        <v>0</v>
      </c>
      <c r="O31" s="15">
        <f t="shared" si="3"/>
        <v>0</v>
      </c>
      <c r="P31" s="15">
        <v>0</v>
      </c>
      <c r="Q31" s="15">
        <v>0</v>
      </c>
      <c r="R31" s="15"/>
      <c r="S31" s="436"/>
      <c r="T31" s="436">
        <f t="shared" si="4"/>
        <v>0</v>
      </c>
      <c r="U31" s="15">
        <f t="shared" si="12"/>
        <v>0</v>
      </c>
      <c r="V31" s="6">
        <f t="shared" si="10"/>
        <v>0</v>
      </c>
    </row>
    <row r="32" spans="1:22" s="59" customFormat="1" ht="9" customHeight="1">
      <c r="A32" s="58"/>
      <c r="B32" s="1"/>
      <c r="C32" s="2"/>
      <c r="D32" s="2"/>
      <c r="E32" s="2"/>
      <c r="F32" s="2"/>
      <c r="G32" s="26"/>
      <c r="H32" s="15"/>
      <c r="I32" s="15"/>
      <c r="J32" s="15"/>
      <c r="K32" s="15"/>
      <c r="L32" s="15"/>
      <c r="M32" s="15"/>
      <c r="N32" s="15"/>
      <c r="O32" s="15">
        <f t="shared" si="3"/>
        <v>0</v>
      </c>
      <c r="P32" s="15"/>
      <c r="Q32" s="15"/>
      <c r="R32" s="15"/>
      <c r="S32" s="436"/>
      <c r="T32" s="436">
        <f t="shared" si="4"/>
        <v>0</v>
      </c>
      <c r="U32" s="15"/>
      <c r="V32" s="6"/>
    </row>
    <row r="33" spans="1:22" s="59" customFormat="1" ht="13.5">
      <c r="A33" s="58"/>
      <c r="B33" s="1"/>
      <c r="C33" s="1"/>
      <c r="D33" s="1">
        <v>119</v>
      </c>
      <c r="E33" s="1"/>
      <c r="F33" s="1"/>
      <c r="G33" s="29" t="s">
        <v>105</v>
      </c>
      <c r="H33" s="4">
        <f>SUM(H34:H38)</f>
        <v>61335286</v>
      </c>
      <c r="I33" s="4">
        <f aca="true" t="shared" si="13" ref="I33:N33">SUM(I34:I38)</f>
        <v>0</v>
      </c>
      <c r="J33" s="4">
        <f t="shared" si="13"/>
        <v>61335286</v>
      </c>
      <c r="K33" s="4">
        <f t="shared" si="13"/>
        <v>0</v>
      </c>
      <c r="L33" s="4">
        <f t="shared" si="13"/>
        <v>6680310</v>
      </c>
      <c r="M33" s="4">
        <f t="shared" si="13"/>
        <v>18066094</v>
      </c>
      <c r="N33" s="4">
        <f t="shared" si="13"/>
        <v>6219032</v>
      </c>
      <c r="O33" s="4">
        <f t="shared" si="3"/>
        <v>30965436</v>
      </c>
      <c r="P33" s="4">
        <f aca="true" t="shared" si="14" ref="P33:U33">SUM(P34:P38)</f>
        <v>27359500</v>
      </c>
      <c r="Q33" s="4">
        <f t="shared" si="14"/>
        <v>629729</v>
      </c>
      <c r="R33" s="4">
        <f t="shared" si="14"/>
        <v>3164000</v>
      </c>
      <c r="S33" s="4">
        <f t="shared" si="14"/>
        <v>10403715</v>
      </c>
      <c r="T33" s="4">
        <f t="shared" si="4"/>
        <v>72522380</v>
      </c>
      <c r="U33" s="4">
        <f t="shared" si="14"/>
        <v>72522380</v>
      </c>
      <c r="V33" s="6">
        <f aca="true" t="shared" si="15" ref="V33:V38">U33*100/J33</f>
        <v>118.23924649181549</v>
      </c>
    </row>
    <row r="34" spans="1:22" s="59" customFormat="1" ht="13.5">
      <c r="A34" s="58"/>
      <c r="B34" s="2"/>
      <c r="C34" s="2"/>
      <c r="D34" s="2" t="s">
        <v>106</v>
      </c>
      <c r="E34" s="2" t="s">
        <v>55</v>
      </c>
      <c r="F34" s="2" t="s">
        <v>21</v>
      </c>
      <c r="G34" s="26" t="s">
        <v>107</v>
      </c>
      <c r="H34" s="15">
        <v>4135286</v>
      </c>
      <c r="I34" s="15">
        <v>0</v>
      </c>
      <c r="J34" s="15">
        <f>H34+I34</f>
        <v>4135286</v>
      </c>
      <c r="K34" s="15">
        <v>0</v>
      </c>
      <c r="L34" s="15">
        <v>894146</v>
      </c>
      <c r="M34" s="15">
        <v>1777840</v>
      </c>
      <c r="N34" s="15">
        <v>0</v>
      </c>
      <c r="O34" s="15">
        <f t="shared" si="3"/>
        <v>2671986</v>
      </c>
      <c r="P34" s="15">
        <v>465776</v>
      </c>
      <c r="Q34" s="15">
        <v>306095</v>
      </c>
      <c r="R34" s="15"/>
      <c r="S34" s="436">
        <f>+HOJA2!O33</f>
        <v>162420</v>
      </c>
      <c r="T34" s="436">
        <f t="shared" si="4"/>
        <v>3606277</v>
      </c>
      <c r="U34" s="15">
        <f>T34</f>
        <v>3606277</v>
      </c>
      <c r="V34" s="6">
        <f t="shared" si="15"/>
        <v>87.20743861488661</v>
      </c>
    </row>
    <row r="35" spans="1:22" s="59" customFormat="1" ht="20.25">
      <c r="A35" s="58"/>
      <c r="B35" s="2"/>
      <c r="C35" s="2"/>
      <c r="D35" s="2" t="s">
        <v>106</v>
      </c>
      <c r="E35" s="2" t="s">
        <v>62</v>
      </c>
      <c r="F35" s="2" t="s">
        <v>21</v>
      </c>
      <c r="G35" s="26" t="s">
        <v>306</v>
      </c>
      <c r="H35" s="15">
        <v>52000000</v>
      </c>
      <c r="I35" s="15">
        <v>0</v>
      </c>
      <c r="J35" s="15">
        <f>H35+I35</f>
        <v>52000000</v>
      </c>
      <c r="K35" s="15">
        <v>0</v>
      </c>
      <c r="L35" s="15">
        <v>5786164</v>
      </c>
      <c r="M35" s="15">
        <v>16288254</v>
      </c>
      <c r="N35" s="15">
        <v>6219032</v>
      </c>
      <c r="O35" s="15">
        <f t="shared" si="3"/>
        <v>28293450</v>
      </c>
      <c r="P35" s="15">
        <v>26858224</v>
      </c>
      <c r="Q35" s="15">
        <v>323634</v>
      </c>
      <c r="R35" s="15"/>
      <c r="S35" s="436"/>
      <c r="T35" s="436">
        <f t="shared" si="4"/>
        <v>55475308</v>
      </c>
      <c r="U35" s="15">
        <f>T35</f>
        <v>55475308</v>
      </c>
      <c r="V35" s="6">
        <f t="shared" si="15"/>
        <v>106.68328461538462</v>
      </c>
    </row>
    <row r="36" spans="1:22" s="59" customFormat="1" ht="20.25">
      <c r="A36" s="58"/>
      <c r="B36" s="2"/>
      <c r="C36" s="2"/>
      <c r="D36" s="2" t="s">
        <v>106</v>
      </c>
      <c r="E36" s="2" t="s">
        <v>93</v>
      </c>
      <c r="F36" s="2" t="s">
        <v>21</v>
      </c>
      <c r="G36" s="26" t="s">
        <v>307</v>
      </c>
      <c r="H36" s="15">
        <v>2000000</v>
      </c>
      <c r="I36" s="15">
        <v>0</v>
      </c>
      <c r="J36" s="15">
        <f>H36+I36</f>
        <v>2000000</v>
      </c>
      <c r="K36" s="15">
        <v>0</v>
      </c>
      <c r="L36" s="15">
        <v>0</v>
      </c>
      <c r="M36" s="15">
        <v>0</v>
      </c>
      <c r="N36" s="15">
        <v>0</v>
      </c>
      <c r="O36" s="15">
        <f t="shared" si="3"/>
        <v>0</v>
      </c>
      <c r="P36" s="15">
        <v>35500</v>
      </c>
      <c r="Q36" s="15">
        <v>0</v>
      </c>
      <c r="R36" s="15">
        <f>+HOJA2!I61</f>
        <v>3164000</v>
      </c>
      <c r="S36" s="436">
        <f>+HOJA2!O34</f>
        <v>10241295</v>
      </c>
      <c r="T36" s="436">
        <f t="shared" si="4"/>
        <v>13440795</v>
      </c>
      <c r="U36" s="15">
        <f>T36</f>
        <v>13440795</v>
      </c>
      <c r="V36" s="6">
        <f t="shared" si="15"/>
        <v>672.03975</v>
      </c>
    </row>
    <row r="37" spans="1:22" s="59" customFormat="1" ht="13.5">
      <c r="A37" s="58"/>
      <c r="B37" s="2"/>
      <c r="C37" s="2"/>
      <c r="D37" s="2" t="s">
        <v>106</v>
      </c>
      <c r="E37" s="2" t="s">
        <v>33</v>
      </c>
      <c r="F37" s="2" t="s">
        <v>21</v>
      </c>
      <c r="G37" s="26" t="s">
        <v>483</v>
      </c>
      <c r="H37" s="15">
        <v>1200000</v>
      </c>
      <c r="I37" s="15">
        <v>0</v>
      </c>
      <c r="J37" s="15">
        <f>H37+I37</f>
        <v>1200000</v>
      </c>
      <c r="K37" s="15">
        <v>0</v>
      </c>
      <c r="L37" s="15">
        <v>0</v>
      </c>
      <c r="M37" s="15">
        <v>0</v>
      </c>
      <c r="N37" s="15">
        <v>0</v>
      </c>
      <c r="O37" s="15">
        <f t="shared" si="3"/>
        <v>0</v>
      </c>
      <c r="P37" s="15">
        <v>0</v>
      </c>
      <c r="Q37" s="15">
        <v>0</v>
      </c>
      <c r="R37" s="15"/>
      <c r="S37" s="436"/>
      <c r="T37" s="436">
        <f t="shared" si="4"/>
        <v>0</v>
      </c>
      <c r="U37" s="15">
        <f>T37</f>
        <v>0</v>
      </c>
      <c r="V37" s="6">
        <f t="shared" si="15"/>
        <v>0</v>
      </c>
    </row>
    <row r="38" spans="1:22" s="59" customFormat="1" ht="13.5">
      <c r="A38" s="58"/>
      <c r="B38" s="2"/>
      <c r="C38" s="2"/>
      <c r="D38" s="2" t="s">
        <v>106</v>
      </c>
      <c r="E38" s="2" t="s">
        <v>63</v>
      </c>
      <c r="F38" s="2" t="s">
        <v>21</v>
      </c>
      <c r="G38" s="26" t="s">
        <v>105</v>
      </c>
      <c r="H38" s="15">
        <v>2000000</v>
      </c>
      <c r="I38" s="15">
        <v>0</v>
      </c>
      <c r="J38" s="15">
        <f>H38+I38</f>
        <v>2000000</v>
      </c>
      <c r="K38" s="15">
        <v>0</v>
      </c>
      <c r="L38" s="15">
        <v>0</v>
      </c>
      <c r="M38" s="15">
        <v>0</v>
      </c>
      <c r="N38" s="15">
        <v>0</v>
      </c>
      <c r="O38" s="15">
        <f t="shared" si="3"/>
        <v>0</v>
      </c>
      <c r="P38" s="15">
        <v>0</v>
      </c>
      <c r="Q38" s="15">
        <v>0</v>
      </c>
      <c r="R38" s="15"/>
      <c r="S38" s="436"/>
      <c r="T38" s="436">
        <f t="shared" si="4"/>
        <v>0</v>
      </c>
      <c r="U38" s="15">
        <f>T38</f>
        <v>0</v>
      </c>
      <c r="V38" s="6">
        <f t="shared" si="15"/>
        <v>0</v>
      </c>
    </row>
    <row r="39" spans="1:22" s="59" customFormat="1" ht="9.75" customHeight="1">
      <c r="A39" s="58"/>
      <c r="B39" s="2"/>
      <c r="C39" s="2"/>
      <c r="D39" s="2"/>
      <c r="E39" s="2"/>
      <c r="F39" s="2"/>
      <c r="G39" s="26"/>
      <c r="H39" s="15"/>
      <c r="I39" s="15"/>
      <c r="J39" s="15"/>
      <c r="K39" s="15"/>
      <c r="L39" s="15"/>
      <c r="M39" s="15"/>
      <c r="N39" s="15"/>
      <c r="O39" s="15">
        <f t="shared" si="3"/>
        <v>0</v>
      </c>
      <c r="P39" s="15"/>
      <c r="Q39" s="15"/>
      <c r="R39" s="15"/>
      <c r="S39" s="436"/>
      <c r="T39" s="436">
        <f t="shared" si="4"/>
        <v>0</v>
      </c>
      <c r="U39" s="15"/>
      <c r="V39" s="6"/>
    </row>
    <row r="40" spans="1:22" s="59" customFormat="1" ht="14.25">
      <c r="A40" s="276"/>
      <c r="B40" s="1"/>
      <c r="C40" s="1">
        <v>130</v>
      </c>
      <c r="D40" s="1"/>
      <c r="E40" s="1"/>
      <c r="F40" s="1"/>
      <c r="G40" s="29" t="s">
        <v>108</v>
      </c>
      <c r="H40" s="4">
        <f aca="true" t="shared" si="16" ref="H40:U40">H41+H53</f>
        <v>19670000</v>
      </c>
      <c r="I40" s="4">
        <f t="shared" si="16"/>
        <v>0</v>
      </c>
      <c r="J40" s="4">
        <f t="shared" si="16"/>
        <v>19670000</v>
      </c>
      <c r="K40" s="4">
        <f t="shared" si="16"/>
        <v>120000</v>
      </c>
      <c r="L40" s="4">
        <f t="shared" si="16"/>
        <v>192000</v>
      </c>
      <c r="M40" s="4">
        <f t="shared" si="16"/>
        <v>545000</v>
      </c>
      <c r="N40" s="4">
        <f t="shared" si="16"/>
        <v>140000</v>
      </c>
      <c r="O40" s="4">
        <f t="shared" si="3"/>
        <v>997000</v>
      </c>
      <c r="P40" s="4">
        <f t="shared" si="16"/>
        <v>342328</v>
      </c>
      <c r="Q40" s="4">
        <f>Q41+Q53</f>
        <v>180000</v>
      </c>
      <c r="R40" s="4">
        <f>R41+R53</f>
        <v>572000</v>
      </c>
      <c r="S40" s="4">
        <f>S41+S53</f>
        <v>220000</v>
      </c>
      <c r="T40" s="4">
        <f t="shared" si="4"/>
        <v>2311328</v>
      </c>
      <c r="U40" s="4">
        <f t="shared" si="16"/>
        <v>2311328</v>
      </c>
      <c r="V40" s="6">
        <f aca="true" t="shared" si="17" ref="V40:V51">U40*100/J40</f>
        <v>11.750523640061006</v>
      </c>
    </row>
    <row r="41" spans="1:22" s="59" customFormat="1" ht="13.5">
      <c r="A41" s="58"/>
      <c r="B41" s="1"/>
      <c r="C41" s="1"/>
      <c r="D41" s="1">
        <v>132</v>
      </c>
      <c r="E41" s="1"/>
      <c r="F41" s="1"/>
      <c r="G41" s="29" t="s">
        <v>109</v>
      </c>
      <c r="H41" s="4">
        <f aca="true" t="shared" si="18" ref="H41:U41">SUM(H42:H52)</f>
        <v>16700000</v>
      </c>
      <c r="I41" s="4">
        <f t="shared" si="18"/>
        <v>0</v>
      </c>
      <c r="J41" s="4">
        <f t="shared" si="18"/>
        <v>16700000</v>
      </c>
      <c r="K41" s="4">
        <f t="shared" si="18"/>
        <v>120000</v>
      </c>
      <c r="L41" s="4">
        <f t="shared" si="18"/>
        <v>192000</v>
      </c>
      <c r="M41" s="4">
        <f t="shared" si="18"/>
        <v>545000</v>
      </c>
      <c r="N41" s="4">
        <f t="shared" si="18"/>
        <v>140000</v>
      </c>
      <c r="O41" s="4">
        <f t="shared" si="3"/>
        <v>997000</v>
      </c>
      <c r="P41" s="4">
        <f>SUM(P42:P52)</f>
        <v>340000</v>
      </c>
      <c r="Q41" s="4">
        <f>SUM(Q42:Q52)</f>
        <v>180000</v>
      </c>
      <c r="R41" s="4">
        <f>SUM(R42:R52)</f>
        <v>572000</v>
      </c>
      <c r="S41" s="4">
        <f>SUM(S42:S52)</f>
        <v>220000</v>
      </c>
      <c r="T41" s="4">
        <f t="shared" si="4"/>
        <v>2309000</v>
      </c>
      <c r="U41" s="4">
        <f t="shared" si="18"/>
        <v>2309000</v>
      </c>
      <c r="V41" s="6">
        <f t="shared" si="17"/>
        <v>13.826347305389222</v>
      </c>
    </row>
    <row r="42" spans="1:22" s="59" customFormat="1" ht="13.5">
      <c r="A42" s="58"/>
      <c r="B42" s="2"/>
      <c r="C42" s="2"/>
      <c r="D42" s="2" t="s">
        <v>110</v>
      </c>
      <c r="E42" s="2" t="s">
        <v>111</v>
      </c>
      <c r="F42" s="2" t="s">
        <v>21</v>
      </c>
      <c r="G42" s="26" t="s">
        <v>196</v>
      </c>
      <c r="H42" s="15">
        <v>2200000</v>
      </c>
      <c r="I42" s="15">
        <v>0</v>
      </c>
      <c r="J42" s="15">
        <f aca="true" t="shared" si="19" ref="J42:J51">H42+I42</f>
        <v>2200000</v>
      </c>
      <c r="K42" s="15">
        <v>48000</v>
      </c>
      <c r="L42" s="15">
        <v>0</v>
      </c>
      <c r="M42" s="15">
        <v>30000</v>
      </c>
      <c r="N42" s="15">
        <v>0</v>
      </c>
      <c r="O42" s="15">
        <f t="shared" si="3"/>
        <v>78000</v>
      </c>
      <c r="P42" s="15">
        <v>50000</v>
      </c>
      <c r="Q42" s="15">
        <v>10000</v>
      </c>
      <c r="R42" s="331">
        <f>+HOJA2!I62</f>
        <v>207000</v>
      </c>
      <c r="S42" s="436">
        <f>+HOJA2!O35</f>
        <v>10000</v>
      </c>
      <c r="T42" s="436">
        <f t="shared" si="4"/>
        <v>355000</v>
      </c>
      <c r="U42" s="15">
        <f aca="true" t="shared" si="20" ref="U42:U51">T42</f>
        <v>355000</v>
      </c>
      <c r="V42" s="6">
        <f t="shared" si="17"/>
        <v>16.136363636363637</v>
      </c>
    </row>
    <row r="43" spans="1:22" s="59" customFormat="1" ht="20.25">
      <c r="A43" s="58"/>
      <c r="B43" s="2"/>
      <c r="C43" s="2"/>
      <c r="D43" s="2" t="s">
        <v>110</v>
      </c>
      <c r="E43" s="2" t="s">
        <v>112</v>
      </c>
      <c r="F43" s="2" t="s">
        <v>21</v>
      </c>
      <c r="G43" s="26" t="s">
        <v>113</v>
      </c>
      <c r="H43" s="15">
        <v>1650000</v>
      </c>
      <c r="I43" s="15">
        <v>0</v>
      </c>
      <c r="J43" s="15">
        <f t="shared" si="19"/>
        <v>1650000</v>
      </c>
      <c r="K43" s="15">
        <v>10000</v>
      </c>
      <c r="L43" s="15">
        <v>0</v>
      </c>
      <c r="M43" s="15">
        <v>30000</v>
      </c>
      <c r="N43" s="15">
        <v>0</v>
      </c>
      <c r="O43" s="15">
        <f t="shared" si="3"/>
        <v>40000</v>
      </c>
      <c r="P43" s="15">
        <v>20000</v>
      </c>
      <c r="Q43" s="15">
        <v>0</v>
      </c>
      <c r="R43" s="331"/>
      <c r="S43" s="436">
        <f>+HOJA2!O36</f>
        <v>10000</v>
      </c>
      <c r="T43" s="436">
        <f t="shared" si="4"/>
        <v>70000</v>
      </c>
      <c r="U43" s="15">
        <f t="shared" si="20"/>
        <v>70000</v>
      </c>
      <c r="V43" s="6">
        <f t="shared" si="17"/>
        <v>4.242424242424242</v>
      </c>
    </row>
    <row r="44" spans="1:22" s="59" customFormat="1" ht="13.5">
      <c r="A44" s="58"/>
      <c r="B44" s="2"/>
      <c r="C44" s="2"/>
      <c r="D44" s="2" t="s">
        <v>110</v>
      </c>
      <c r="E44" s="2" t="s">
        <v>273</v>
      </c>
      <c r="F44" s="2" t="s">
        <v>21</v>
      </c>
      <c r="G44" s="26" t="s">
        <v>197</v>
      </c>
      <c r="H44" s="15">
        <v>1650000</v>
      </c>
      <c r="I44" s="15">
        <v>0</v>
      </c>
      <c r="J44" s="15">
        <f t="shared" si="19"/>
        <v>1650000</v>
      </c>
      <c r="K44" s="15">
        <v>10000</v>
      </c>
      <c r="L44" s="15">
        <v>0</v>
      </c>
      <c r="M44" s="15">
        <v>40000</v>
      </c>
      <c r="N44" s="15">
        <v>0</v>
      </c>
      <c r="O44" s="15">
        <f t="shared" si="3"/>
        <v>50000</v>
      </c>
      <c r="P44" s="15">
        <v>20000</v>
      </c>
      <c r="Q44" s="15">
        <v>10000</v>
      </c>
      <c r="R44" s="331"/>
      <c r="S44" s="436"/>
      <c r="T44" s="436">
        <f t="shared" si="4"/>
        <v>80000</v>
      </c>
      <c r="U44" s="15">
        <f t="shared" si="20"/>
        <v>80000</v>
      </c>
      <c r="V44" s="6">
        <f t="shared" si="17"/>
        <v>4.848484848484849</v>
      </c>
    </row>
    <row r="45" spans="1:22" s="59" customFormat="1" ht="13.5">
      <c r="A45" s="58"/>
      <c r="B45" s="2"/>
      <c r="C45" s="2"/>
      <c r="D45" s="2" t="s">
        <v>110</v>
      </c>
      <c r="E45" s="2" t="s">
        <v>114</v>
      </c>
      <c r="F45" s="2" t="s">
        <v>21</v>
      </c>
      <c r="G45" s="26" t="s">
        <v>309</v>
      </c>
      <c r="H45" s="15">
        <v>1000000</v>
      </c>
      <c r="I45" s="15">
        <v>0</v>
      </c>
      <c r="J45" s="15">
        <f t="shared" si="19"/>
        <v>1000000</v>
      </c>
      <c r="K45" s="15">
        <v>0</v>
      </c>
      <c r="L45" s="15">
        <v>0</v>
      </c>
      <c r="M45" s="15">
        <v>25000</v>
      </c>
      <c r="N45" s="15">
        <v>0</v>
      </c>
      <c r="O45" s="15">
        <f t="shared" si="3"/>
        <v>25000</v>
      </c>
      <c r="P45" s="15">
        <v>20000</v>
      </c>
      <c r="Q45" s="15">
        <v>0</v>
      </c>
      <c r="R45" s="331"/>
      <c r="S45" s="436"/>
      <c r="T45" s="436">
        <f t="shared" si="4"/>
        <v>45000</v>
      </c>
      <c r="U45" s="15">
        <f t="shared" si="20"/>
        <v>45000</v>
      </c>
      <c r="V45" s="6">
        <f t="shared" si="17"/>
        <v>4.5</v>
      </c>
    </row>
    <row r="46" spans="1:22" s="59" customFormat="1" ht="13.5">
      <c r="A46" s="58"/>
      <c r="B46" s="2"/>
      <c r="C46" s="2"/>
      <c r="D46" s="2" t="s">
        <v>110</v>
      </c>
      <c r="E46" s="2" t="s">
        <v>115</v>
      </c>
      <c r="F46" s="2" t="s">
        <v>21</v>
      </c>
      <c r="G46" s="26" t="s">
        <v>319</v>
      </c>
      <c r="H46" s="15">
        <v>1200000</v>
      </c>
      <c r="I46" s="15">
        <v>0</v>
      </c>
      <c r="J46" s="15">
        <f t="shared" si="19"/>
        <v>1200000</v>
      </c>
      <c r="K46" s="15">
        <v>0</v>
      </c>
      <c r="L46" s="15">
        <v>0</v>
      </c>
      <c r="M46" s="15">
        <v>0</v>
      </c>
      <c r="N46" s="15">
        <v>0</v>
      </c>
      <c r="O46" s="15">
        <f t="shared" si="3"/>
        <v>0</v>
      </c>
      <c r="P46" s="15">
        <v>0</v>
      </c>
      <c r="Q46" s="15">
        <v>0</v>
      </c>
      <c r="R46" s="331"/>
      <c r="S46" s="436"/>
      <c r="T46" s="436">
        <f t="shared" si="4"/>
        <v>0</v>
      </c>
      <c r="U46" s="15">
        <f t="shared" si="20"/>
        <v>0</v>
      </c>
      <c r="V46" s="6">
        <f t="shared" si="17"/>
        <v>0</v>
      </c>
    </row>
    <row r="47" spans="1:22" s="59" customFormat="1" ht="20.25">
      <c r="A47" s="58"/>
      <c r="B47" s="2"/>
      <c r="C47" s="2"/>
      <c r="D47" s="2" t="s">
        <v>110</v>
      </c>
      <c r="E47" s="25" t="s">
        <v>116</v>
      </c>
      <c r="F47" s="25" t="s">
        <v>21</v>
      </c>
      <c r="G47" s="26" t="s">
        <v>198</v>
      </c>
      <c r="H47" s="27">
        <v>6000000</v>
      </c>
      <c r="I47" s="15">
        <v>0</v>
      </c>
      <c r="J47" s="15">
        <f t="shared" si="19"/>
        <v>6000000</v>
      </c>
      <c r="K47" s="15">
        <v>0</v>
      </c>
      <c r="L47" s="15">
        <v>0</v>
      </c>
      <c r="M47" s="15">
        <v>0</v>
      </c>
      <c r="N47" s="15">
        <v>0</v>
      </c>
      <c r="O47" s="15">
        <f t="shared" si="3"/>
        <v>0</v>
      </c>
      <c r="P47" s="15">
        <v>0</v>
      </c>
      <c r="Q47" s="15">
        <v>0</v>
      </c>
      <c r="R47" s="331"/>
      <c r="S47" s="436"/>
      <c r="T47" s="436">
        <f t="shared" si="4"/>
        <v>0</v>
      </c>
      <c r="U47" s="15">
        <f t="shared" si="20"/>
        <v>0</v>
      </c>
      <c r="V47" s="6">
        <f t="shared" si="17"/>
        <v>0</v>
      </c>
    </row>
    <row r="48" spans="1:22" s="59" customFormat="1" ht="20.25">
      <c r="A48" s="58"/>
      <c r="B48" s="2"/>
      <c r="C48" s="2"/>
      <c r="D48" s="2" t="s">
        <v>110</v>
      </c>
      <c r="E48" s="25" t="s">
        <v>117</v>
      </c>
      <c r="F48" s="25" t="s">
        <v>21</v>
      </c>
      <c r="G48" s="26" t="s">
        <v>199</v>
      </c>
      <c r="H48" s="27">
        <v>1200000</v>
      </c>
      <c r="I48" s="15">
        <v>0</v>
      </c>
      <c r="J48" s="15">
        <f t="shared" si="19"/>
        <v>1200000</v>
      </c>
      <c r="K48" s="15">
        <v>0</v>
      </c>
      <c r="L48" s="15">
        <v>192000</v>
      </c>
      <c r="M48" s="15">
        <v>420000</v>
      </c>
      <c r="N48" s="15">
        <v>140000</v>
      </c>
      <c r="O48" s="15">
        <f t="shared" si="3"/>
        <v>752000</v>
      </c>
      <c r="P48" s="15">
        <v>180000</v>
      </c>
      <c r="Q48" s="15">
        <v>160000</v>
      </c>
      <c r="R48" s="331">
        <f>+HOJA2!I65</f>
        <v>20000</v>
      </c>
      <c r="S48" s="436">
        <f>+HOJA2!O37</f>
        <v>200000</v>
      </c>
      <c r="T48" s="436">
        <f t="shared" si="4"/>
        <v>1312000</v>
      </c>
      <c r="U48" s="15">
        <f t="shared" si="20"/>
        <v>1312000</v>
      </c>
      <c r="V48" s="6">
        <f t="shared" si="17"/>
        <v>109.33333333333333</v>
      </c>
    </row>
    <row r="49" spans="1:22" s="159" customFormat="1" ht="13.5">
      <c r="A49" s="158"/>
      <c r="B49" s="25"/>
      <c r="C49" s="25"/>
      <c r="D49" s="25" t="s">
        <v>110</v>
      </c>
      <c r="E49" s="25" t="s">
        <v>274</v>
      </c>
      <c r="F49" s="25" t="s">
        <v>21</v>
      </c>
      <c r="G49" s="26" t="s">
        <v>118</v>
      </c>
      <c r="H49" s="15">
        <v>600000</v>
      </c>
      <c r="I49" s="27">
        <v>0</v>
      </c>
      <c r="J49" s="27">
        <f t="shared" si="19"/>
        <v>600000</v>
      </c>
      <c r="K49" s="15">
        <v>52000</v>
      </c>
      <c r="L49" s="15">
        <v>0</v>
      </c>
      <c r="M49" s="15">
        <v>0</v>
      </c>
      <c r="N49" s="15">
        <v>0</v>
      </c>
      <c r="O49" s="15">
        <f t="shared" si="3"/>
        <v>52000</v>
      </c>
      <c r="P49" s="15">
        <v>50000</v>
      </c>
      <c r="Q49" s="15">
        <v>0</v>
      </c>
      <c r="R49" s="331">
        <f>+HOJA2!I64</f>
        <v>345000</v>
      </c>
      <c r="S49" s="438"/>
      <c r="T49" s="438">
        <f t="shared" si="4"/>
        <v>447000</v>
      </c>
      <c r="U49" s="15">
        <f t="shared" si="20"/>
        <v>447000</v>
      </c>
      <c r="V49" s="6">
        <f t="shared" si="17"/>
        <v>74.5</v>
      </c>
    </row>
    <row r="50" spans="1:22" s="159" customFormat="1" ht="20.25">
      <c r="A50" s="158"/>
      <c r="B50" s="25"/>
      <c r="C50" s="25"/>
      <c r="D50" s="25" t="s">
        <v>110</v>
      </c>
      <c r="E50" s="2" t="s">
        <v>275</v>
      </c>
      <c r="F50" s="2" t="s">
        <v>21</v>
      </c>
      <c r="G50" s="26" t="s">
        <v>308</v>
      </c>
      <c r="H50" s="27">
        <v>600000</v>
      </c>
      <c r="I50" s="27">
        <v>0</v>
      </c>
      <c r="J50" s="27">
        <f t="shared" si="19"/>
        <v>600000</v>
      </c>
      <c r="K50" s="15">
        <v>0</v>
      </c>
      <c r="L50" s="15">
        <v>0</v>
      </c>
      <c r="M50" s="15">
        <v>0</v>
      </c>
      <c r="N50" s="15">
        <v>0</v>
      </c>
      <c r="O50" s="15">
        <f t="shared" si="3"/>
        <v>0</v>
      </c>
      <c r="P50" s="15">
        <v>0</v>
      </c>
      <c r="Q50" s="15">
        <v>0</v>
      </c>
      <c r="R50" s="331"/>
      <c r="S50" s="438"/>
      <c r="T50" s="438">
        <f t="shared" si="4"/>
        <v>0</v>
      </c>
      <c r="U50" s="15">
        <f t="shared" si="20"/>
        <v>0</v>
      </c>
      <c r="V50" s="6">
        <f t="shared" si="17"/>
        <v>0</v>
      </c>
    </row>
    <row r="51" spans="1:22" s="59" customFormat="1" ht="20.25">
      <c r="A51" s="58"/>
      <c r="B51" s="2"/>
      <c r="C51" s="2"/>
      <c r="D51" s="2" t="s">
        <v>110</v>
      </c>
      <c r="E51" s="25" t="s">
        <v>310</v>
      </c>
      <c r="F51" s="25" t="s">
        <v>21</v>
      </c>
      <c r="G51" s="26" t="s">
        <v>501</v>
      </c>
      <c r="H51" s="27">
        <v>600000</v>
      </c>
      <c r="I51" s="15">
        <v>0</v>
      </c>
      <c r="J51" s="15">
        <f t="shared" si="19"/>
        <v>600000</v>
      </c>
      <c r="K51" s="15">
        <v>0</v>
      </c>
      <c r="L51" s="15">
        <v>0</v>
      </c>
      <c r="M51" s="15">
        <v>0</v>
      </c>
      <c r="N51" s="15">
        <v>0</v>
      </c>
      <c r="O51" s="15">
        <f t="shared" si="3"/>
        <v>0</v>
      </c>
      <c r="P51" s="15">
        <v>0</v>
      </c>
      <c r="Q51" s="15">
        <v>0</v>
      </c>
      <c r="S51" s="436"/>
      <c r="T51" s="436">
        <f t="shared" si="4"/>
        <v>0</v>
      </c>
      <c r="U51" s="15">
        <f t="shared" si="20"/>
        <v>0</v>
      </c>
      <c r="V51" s="6">
        <f t="shared" si="17"/>
        <v>0</v>
      </c>
    </row>
    <row r="52" spans="1:22" s="59" customFormat="1" ht="12" customHeight="1">
      <c r="A52" s="58"/>
      <c r="B52" s="2"/>
      <c r="C52" s="2"/>
      <c r="D52" s="2"/>
      <c r="E52" s="2"/>
      <c r="F52" s="2"/>
      <c r="G52" s="26"/>
      <c r="H52" s="15"/>
      <c r="I52" s="15"/>
      <c r="J52" s="15"/>
      <c r="K52" s="15"/>
      <c r="L52" s="15"/>
      <c r="M52" s="15"/>
      <c r="N52" s="15"/>
      <c r="O52" s="15">
        <f t="shared" si="3"/>
        <v>0</v>
      </c>
      <c r="P52" s="15"/>
      <c r="Q52" s="15"/>
      <c r="R52" s="331"/>
      <c r="S52" s="436"/>
      <c r="T52" s="436">
        <f t="shared" si="4"/>
        <v>0</v>
      </c>
      <c r="U52" s="15"/>
      <c r="V52" s="6"/>
    </row>
    <row r="53" spans="1:22" s="59" customFormat="1" ht="13.5">
      <c r="A53" s="58"/>
      <c r="B53" s="1"/>
      <c r="C53" s="1"/>
      <c r="D53" s="1">
        <v>133</v>
      </c>
      <c r="E53" s="1"/>
      <c r="F53" s="1"/>
      <c r="G53" s="29" t="s">
        <v>120</v>
      </c>
      <c r="H53" s="4">
        <f aca="true" t="shared" si="21" ref="H53:N53">SUM(H54:H56)</f>
        <v>2970000</v>
      </c>
      <c r="I53" s="4">
        <f t="shared" si="21"/>
        <v>0</v>
      </c>
      <c r="J53" s="4">
        <f t="shared" si="21"/>
        <v>2970000</v>
      </c>
      <c r="K53" s="4">
        <f>+K54+K56</f>
        <v>0</v>
      </c>
      <c r="L53" s="4">
        <f t="shared" si="21"/>
        <v>0</v>
      </c>
      <c r="M53" s="4">
        <f t="shared" si="21"/>
        <v>0</v>
      </c>
      <c r="N53" s="4">
        <f t="shared" si="21"/>
        <v>0</v>
      </c>
      <c r="O53" s="4">
        <f t="shared" si="3"/>
        <v>0</v>
      </c>
      <c r="P53" s="4">
        <f aca="true" t="shared" si="22" ref="P53:U53">SUM(P54:P56)</f>
        <v>2328</v>
      </c>
      <c r="Q53" s="4">
        <f t="shared" si="22"/>
        <v>0</v>
      </c>
      <c r="R53" s="4">
        <f t="shared" si="22"/>
        <v>0</v>
      </c>
      <c r="S53" s="4">
        <f t="shared" si="22"/>
        <v>0</v>
      </c>
      <c r="T53" s="4">
        <f t="shared" si="4"/>
        <v>2328</v>
      </c>
      <c r="U53" s="4">
        <f t="shared" si="22"/>
        <v>2328</v>
      </c>
      <c r="V53" s="6">
        <f>U53*100/J53</f>
        <v>0.07838383838383839</v>
      </c>
    </row>
    <row r="54" spans="1:22" s="59" customFormat="1" ht="13.5">
      <c r="A54" s="58"/>
      <c r="B54" s="1"/>
      <c r="C54" s="1"/>
      <c r="D54" s="2" t="s">
        <v>121</v>
      </c>
      <c r="E54" s="2" t="s">
        <v>21</v>
      </c>
      <c r="F54" s="2" t="s">
        <v>21</v>
      </c>
      <c r="G54" s="26" t="s">
        <v>166</v>
      </c>
      <c r="H54" s="15">
        <v>1870000</v>
      </c>
      <c r="I54" s="15">
        <v>0</v>
      </c>
      <c r="J54" s="15">
        <f>H54+I54</f>
        <v>1870000</v>
      </c>
      <c r="K54" s="15">
        <v>0</v>
      </c>
      <c r="L54" s="15">
        <v>0</v>
      </c>
      <c r="M54" s="15">
        <v>0</v>
      </c>
      <c r="N54" s="15">
        <v>0</v>
      </c>
      <c r="O54" s="15">
        <f t="shared" si="3"/>
        <v>0</v>
      </c>
      <c r="P54" s="15">
        <v>2328</v>
      </c>
      <c r="Q54" s="59">
        <v>0</v>
      </c>
      <c r="R54" s="330"/>
      <c r="S54" s="436"/>
      <c r="T54" s="436">
        <f t="shared" si="4"/>
        <v>2328</v>
      </c>
      <c r="U54" s="15">
        <f>T54</f>
        <v>2328</v>
      </c>
      <c r="V54" s="6">
        <f>U54*100/J54</f>
        <v>0.12449197860962567</v>
      </c>
    </row>
    <row r="55" spans="1:22" s="59" customFormat="1" ht="13.5">
      <c r="A55" s="58"/>
      <c r="B55" s="1"/>
      <c r="C55" s="1"/>
      <c r="D55" s="2" t="s">
        <v>121</v>
      </c>
      <c r="E55" s="2" t="s">
        <v>33</v>
      </c>
      <c r="F55" s="2" t="s">
        <v>21</v>
      </c>
      <c r="G55" s="26" t="s">
        <v>276</v>
      </c>
      <c r="H55" s="15">
        <v>0</v>
      </c>
      <c r="I55" s="15">
        <v>0</v>
      </c>
      <c r="J55" s="15">
        <f>H55+I55</f>
        <v>0</v>
      </c>
      <c r="K55" s="15">
        <v>0</v>
      </c>
      <c r="L55" s="15">
        <v>0</v>
      </c>
      <c r="M55" s="15">
        <v>0</v>
      </c>
      <c r="N55" s="15">
        <v>0</v>
      </c>
      <c r="O55" s="15">
        <f t="shared" si="3"/>
        <v>0</v>
      </c>
      <c r="P55" s="15">
        <v>0</v>
      </c>
      <c r="Q55" s="15">
        <v>0</v>
      </c>
      <c r="R55" s="331"/>
      <c r="S55" s="436"/>
      <c r="T55" s="436">
        <f t="shared" si="4"/>
        <v>0</v>
      </c>
      <c r="U55" s="15">
        <f>T55</f>
        <v>0</v>
      </c>
      <c r="V55" s="6">
        <v>0</v>
      </c>
    </row>
    <row r="56" spans="1:22" s="59" customFormat="1" ht="13.5">
      <c r="A56" s="58"/>
      <c r="B56" s="1"/>
      <c r="C56" s="1"/>
      <c r="D56" s="2" t="s">
        <v>121</v>
      </c>
      <c r="E56" s="2" t="s">
        <v>195</v>
      </c>
      <c r="F56" s="2" t="s">
        <v>21</v>
      </c>
      <c r="G56" s="26" t="s">
        <v>207</v>
      </c>
      <c r="H56" s="15">
        <v>1100000</v>
      </c>
      <c r="I56" s="15">
        <v>0</v>
      </c>
      <c r="J56" s="15">
        <f>H56+I56</f>
        <v>1100000</v>
      </c>
      <c r="K56" s="15">
        <v>0</v>
      </c>
      <c r="L56" s="15">
        <v>0</v>
      </c>
      <c r="M56" s="15">
        <v>0</v>
      </c>
      <c r="N56" s="15">
        <v>0</v>
      </c>
      <c r="O56" s="15">
        <f t="shared" si="3"/>
        <v>0</v>
      </c>
      <c r="P56" s="15">
        <v>0</v>
      </c>
      <c r="Q56" s="15">
        <v>0</v>
      </c>
      <c r="R56" s="331"/>
      <c r="S56" s="436"/>
      <c r="T56" s="436">
        <f t="shared" si="4"/>
        <v>0</v>
      </c>
      <c r="U56" s="15">
        <f>T56</f>
        <v>0</v>
      </c>
      <c r="V56" s="6">
        <f>U56*100/J56</f>
        <v>0</v>
      </c>
    </row>
    <row r="57" spans="1:22" s="59" customFormat="1" ht="13.5">
      <c r="A57" s="58"/>
      <c r="B57" s="1"/>
      <c r="C57" s="1"/>
      <c r="D57" s="2"/>
      <c r="E57" s="2"/>
      <c r="F57" s="2"/>
      <c r="G57" s="26"/>
      <c r="H57" s="15"/>
      <c r="I57" s="15"/>
      <c r="J57" s="15"/>
      <c r="K57" s="15"/>
      <c r="L57" s="15"/>
      <c r="M57" s="15"/>
      <c r="N57" s="15"/>
      <c r="O57" s="15">
        <f t="shared" si="3"/>
        <v>0</v>
      </c>
      <c r="P57" s="15"/>
      <c r="Q57" s="15"/>
      <c r="R57" s="331"/>
      <c r="S57" s="436"/>
      <c r="T57" s="436">
        <f t="shared" si="4"/>
        <v>0</v>
      </c>
      <c r="U57" s="4"/>
      <c r="V57" s="6"/>
    </row>
    <row r="58" spans="1:22" s="59" customFormat="1" ht="20.25">
      <c r="A58" s="276"/>
      <c r="B58" s="24"/>
      <c r="C58" s="24">
        <v>140</v>
      </c>
      <c r="D58" s="24"/>
      <c r="E58" s="24"/>
      <c r="F58" s="24"/>
      <c r="G58" s="29" t="s">
        <v>237</v>
      </c>
      <c r="H58" s="28">
        <f aca="true" t="shared" si="23" ref="H58:U58">H59+H71</f>
        <v>56640000</v>
      </c>
      <c r="I58" s="28">
        <f t="shared" si="23"/>
        <v>0</v>
      </c>
      <c r="J58" s="28">
        <f t="shared" si="23"/>
        <v>56640000</v>
      </c>
      <c r="K58" s="28">
        <f t="shared" si="23"/>
        <v>73000</v>
      </c>
      <c r="L58" s="28">
        <f t="shared" si="23"/>
        <v>4912311</v>
      </c>
      <c r="M58" s="28">
        <f t="shared" si="23"/>
        <v>13881047</v>
      </c>
      <c r="N58" s="28">
        <f t="shared" si="23"/>
        <v>4493527</v>
      </c>
      <c r="O58" s="28">
        <f t="shared" si="3"/>
        <v>23359885</v>
      </c>
      <c r="P58" s="28">
        <f t="shared" si="23"/>
        <v>15579087</v>
      </c>
      <c r="Q58" s="28">
        <f>Q59+Q71</f>
        <v>523607</v>
      </c>
      <c r="R58" s="28">
        <f>R59+R71</f>
        <v>3791320</v>
      </c>
      <c r="S58" s="28">
        <f>S59+S71</f>
        <v>8801459</v>
      </c>
      <c r="T58" s="28">
        <f t="shared" si="4"/>
        <v>52055358</v>
      </c>
      <c r="U58" s="28">
        <f t="shared" si="23"/>
        <v>52055358</v>
      </c>
      <c r="V58" s="6">
        <f aca="true" t="shared" si="24" ref="V58:V69">U58*100/J58</f>
        <v>91.90564618644068</v>
      </c>
    </row>
    <row r="59" spans="1:22" s="59" customFormat="1" ht="13.5">
      <c r="A59" s="58"/>
      <c r="B59" s="1"/>
      <c r="C59" s="1"/>
      <c r="D59" s="1">
        <v>141</v>
      </c>
      <c r="E59" s="1"/>
      <c r="F59" s="1"/>
      <c r="G59" s="29" t="s">
        <v>122</v>
      </c>
      <c r="H59" s="4">
        <f aca="true" t="shared" si="25" ref="H59:U59">SUM(H60:H69)</f>
        <v>6340000</v>
      </c>
      <c r="I59" s="4">
        <f t="shared" si="25"/>
        <v>0</v>
      </c>
      <c r="J59" s="4">
        <f t="shared" si="25"/>
        <v>6340000</v>
      </c>
      <c r="K59" s="4">
        <f t="shared" si="25"/>
        <v>0</v>
      </c>
      <c r="L59" s="4">
        <f t="shared" si="25"/>
        <v>0</v>
      </c>
      <c r="M59" s="4">
        <f t="shared" si="25"/>
        <v>20000</v>
      </c>
      <c r="N59" s="4">
        <f t="shared" si="25"/>
        <v>0</v>
      </c>
      <c r="O59" s="4">
        <f t="shared" si="3"/>
        <v>20000</v>
      </c>
      <c r="P59" s="4">
        <f t="shared" si="25"/>
        <v>0</v>
      </c>
      <c r="Q59" s="4">
        <f>SUM(Q60:Q69)</f>
        <v>0</v>
      </c>
      <c r="R59" s="4">
        <f>SUM(R60:R69)</f>
        <v>0</v>
      </c>
      <c r="S59" s="4">
        <f>SUM(S60:S69)</f>
        <v>0</v>
      </c>
      <c r="T59" s="4">
        <f t="shared" si="4"/>
        <v>20000</v>
      </c>
      <c r="U59" s="4">
        <f t="shared" si="25"/>
        <v>20000</v>
      </c>
      <c r="V59" s="6">
        <f t="shared" si="24"/>
        <v>0.31545741324921134</v>
      </c>
    </row>
    <row r="60" spans="1:22" s="161" customFormat="1" ht="13.5">
      <c r="A60" s="160"/>
      <c r="B60" s="1"/>
      <c r="C60" s="1"/>
      <c r="D60" s="2" t="s">
        <v>123</v>
      </c>
      <c r="E60" s="2" t="s">
        <v>21</v>
      </c>
      <c r="F60" s="2" t="s">
        <v>21</v>
      </c>
      <c r="G60" s="26" t="s">
        <v>208</v>
      </c>
      <c r="H60" s="15">
        <v>2000000</v>
      </c>
      <c r="I60" s="15">
        <v>0</v>
      </c>
      <c r="J60" s="15">
        <f aca="true" t="shared" si="26" ref="J60:J69">H60+I60</f>
        <v>2000000</v>
      </c>
      <c r="K60" s="15">
        <v>0</v>
      </c>
      <c r="L60" s="15">
        <v>0</v>
      </c>
      <c r="M60" s="15">
        <v>0</v>
      </c>
      <c r="N60" s="15">
        <v>0</v>
      </c>
      <c r="O60" s="15">
        <f t="shared" si="3"/>
        <v>0</v>
      </c>
      <c r="P60" s="15">
        <v>0</v>
      </c>
      <c r="Q60" s="15">
        <v>0</v>
      </c>
      <c r="R60" s="331"/>
      <c r="S60" s="439"/>
      <c r="T60" s="439">
        <f t="shared" si="4"/>
        <v>0</v>
      </c>
      <c r="U60" s="15">
        <f aca="true" t="shared" si="27" ref="U60:U69">T60</f>
        <v>0</v>
      </c>
      <c r="V60" s="6">
        <f t="shared" si="24"/>
        <v>0</v>
      </c>
    </row>
    <row r="61" spans="1:22" s="161" customFormat="1" ht="13.5">
      <c r="A61" s="160"/>
      <c r="B61" s="1"/>
      <c r="C61" s="1"/>
      <c r="D61" s="2" t="s">
        <v>123</v>
      </c>
      <c r="E61" s="2" t="s">
        <v>93</v>
      </c>
      <c r="F61" s="2" t="s">
        <v>21</v>
      </c>
      <c r="G61" s="26" t="s">
        <v>263</v>
      </c>
      <c r="H61" s="15">
        <v>500000</v>
      </c>
      <c r="I61" s="15">
        <v>0</v>
      </c>
      <c r="J61" s="15">
        <f t="shared" si="26"/>
        <v>500000</v>
      </c>
      <c r="K61" s="15">
        <v>0</v>
      </c>
      <c r="L61" s="15">
        <v>0</v>
      </c>
      <c r="M61" s="15">
        <v>0</v>
      </c>
      <c r="N61" s="15">
        <v>0</v>
      </c>
      <c r="O61" s="15">
        <f t="shared" si="3"/>
        <v>0</v>
      </c>
      <c r="P61" s="15">
        <v>0</v>
      </c>
      <c r="Q61" s="15">
        <v>0</v>
      </c>
      <c r="R61" s="331"/>
      <c r="S61" s="439"/>
      <c r="T61" s="439">
        <f t="shared" si="4"/>
        <v>0</v>
      </c>
      <c r="U61" s="15">
        <f t="shared" si="27"/>
        <v>0</v>
      </c>
      <c r="V61" s="6">
        <f t="shared" si="24"/>
        <v>0</v>
      </c>
    </row>
    <row r="62" spans="1:22" s="161" customFormat="1" ht="13.5">
      <c r="A62" s="160"/>
      <c r="B62" s="1"/>
      <c r="C62" s="1"/>
      <c r="D62" s="2" t="s">
        <v>123</v>
      </c>
      <c r="E62" s="2" t="s">
        <v>58</v>
      </c>
      <c r="F62" s="25" t="s">
        <v>21</v>
      </c>
      <c r="G62" s="26" t="s">
        <v>264</v>
      </c>
      <c r="H62" s="15">
        <v>240000</v>
      </c>
      <c r="I62" s="15">
        <v>0</v>
      </c>
      <c r="J62" s="15">
        <f t="shared" si="26"/>
        <v>240000</v>
      </c>
      <c r="K62" s="15">
        <v>0</v>
      </c>
      <c r="L62" s="15">
        <v>0</v>
      </c>
      <c r="M62" s="15">
        <v>0</v>
      </c>
      <c r="N62" s="15">
        <v>0</v>
      </c>
      <c r="O62" s="15">
        <f t="shared" si="3"/>
        <v>0</v>
      </c>
      <c r="P62" s="15">
        <v>0</v>
      </c>
      <c r="Q62" s="15">
        <v>0</v>
      </c>
      <c r="R62" s="331"/>
      <c r="S62" s="439"/>
      <c r="T62" s="439">
        <f t="shared" si="4"/>
        <v>0</v>
      </c>
      <c r="U62" s="15">
        <f t="shared" si="27"/>
        <v>0</v>
      </c>
      <c r="V62" s="6">
        <f t="shared" si="24"/>
        <v>0</v>
      </c>
    </row>
    <row r="63" spans="1:22" s="161" customFormat="1" ht="20.25">
      <c r="A63" s="160"/>
      <c r="B63" s="1"/>
      <c r="C63" s="1"/>
      <c r="D63" s="25" t="s">
        <v>123</v>
      </c>
      <c r="E63" s="2" t="s">
        <v>63</v>
      </c>
      <c r="F63" s="25" t="s">
        <v>21</v>
      </c>
      <c r="G63" s="26" t="s">
        <v>312</v>
      </c>
      <c r="H63" s="15">
        <v>500000</v>
      </c>
      <c r="I63" s="15">
        <v>0</v>
      </c>
      <c r="J63" s="15">
        <f t="shared" si="26"/>
        <v>500000</v>
      </c>
      <c r="K63" s="15">
        <v>0</v>
      </c>
      <c r="L63" s="15">
        <v>0</v>
      </c>
      <c r="M63" s="15">
        <v>20000</v>
      </c>
      <c r="N63" s="15">
        <v>0</v>
      </c>
      <c r="O63" s="15">
        <f t="shared" si="3"/>
        <v>20000</v>
      </c>
      <c r="P63" s="15">
        <v>0</v>
      </c>
      <c r="Q63" s="15">
        <v>0</v>
      </c>
      <c r="R63" s="331"/>
      <c r="S63" s="439"/>
      <c r="T63" s="439">
        <f t="shared" si="4"/>
        <v>20000</v>
      </c>
      <c r="U63" s="15">
        <f t="shared" si="27"/>
        <v>20000</v>
      </c>
      <c r="V63" s="6">
        <f t="shared" si="24"/>
        <v>4</v>
      </c>
    </row>
    <row r="64" spans="1:22" s="163" customFormat="1" ht="13.5">
      <c r="A64" s="162"/>
      <c r="B64" s="24"/>
      <c r="C64" s="24"/>
      <c r="D64" s="25" t="s">
        <v>123</v>
      </c>
      <c r="E64" s="2" t="s">
        <v>32</v>
      </c>
      <c r="F64" s="25" t="s">
        <v>21</v>
      </c>
      <c r="G64" s="26" t="s">
        <v>200</v>
      </c>
      <c r="H64" s="15">
        <v>2600000</v>
      </c>
      <c r="I64" s="15">
        <v>0</v>
      </c>
      <c r="J64" s="15">
        <f t="shared" si="26"/>
        <v>2600000</v>
      </c>
      <c r="K64" s="15">
        <v>0</v>
      </c>
      <c r="L64" s="15">
        <v>0</v>
      </c>
      <c r="M64" s="15">
        <v>0</v>
      </c>
      <c r="N64" s="15">
        <v>0</v>
      </c>
      <c r="O64" s="15">
        <f t="shared" si="3"/>
        <v>0</v>
      </c>
      <c r="P64" s="15">
        <v>0</v>
      </c>
      <c r="Q64" s="15">
        <v>0</v>
      </c>
      <c r="R64" s="331"/>
      <c r="S64" s="440"/>
      <c r="T64" s="440">
        <f t="shared" si="4"/>
        <v>0</v>
      </c>
      <c r="U64" s="15">
        <f t="shared" si="27"/>
        <v>0</v>
      </c>
      <c r="V64" s="6">
        <f t="shared" si="24"/>
        <v>0</v>
      </c>
    </row>
    <row r="65" spans="1:22" s="163" customFormat="1" ht="13.5">
      <c r="A65" s="162"/>
      <c r="B65" s="24"/>
      <c r="C65" s="24"/>
      <c r="D65" s="25" t="s">
        <v>123</v>
      </c>
      <c r="E65" s="2" t="s">
        <v>65</v>
      </c>
      <c r="F65" s="25" t="s">
        <v>21</v>
      </c>
      <c r="G65" s="26" t="s">
        <v>502</v>
      </c>
      <c r="H65" s="15">
        <v>500000</v>
      </c>
      <c r="I65" s="15">
        <v>0</v>
      </c>
      <c r="J65" s="15">
        <f t="shared" si="26"/>
        <v>500000</v>
      </c>
      <c r="K65" s="15">
        <v>0</v>
      </c>
      <c r="L65" s="15">
        <v>0</v>
      </c>
      <c r="M65" s="15">
        <v>0</v>
      </c>
      <c r="N65" s="15">
        <v>0</v>
      </c>
      <c r="O65" s="15">
        <f t="shared" si="3"/>
        <v>0</v>
      </c>
      <c r="P65" s="15">
        <v>0</v>
      </c>
      <c r="Q65" s="15">
        <v>0</v>
      </c>
      <c r="R65" s="331"/>
      <c r="S65" s="440"/>
      <c r="T65" s="440">
        <f t="shared" si="4"/>
        <v>0</v>
      </c>
      <c r="U65" s="15">
        <f t="shared" si="27"/>
        <v>0</v>
      </c>
      <c r="V65" s="6">
        <f t="shared" si="24"/>
        <v>0</v>
      </c>
    </row>
    <row r="66" spans="1:22" s="163" customFormat="1" ht="13.5" hidden="1">
      <c r="A66" s="162"/>
      <c r="B66" s="24"/>
      <c r="C66" s="24"/>
      <c r="D66" s="25" t="s">
        <v>123</v>
      </c>
      <c r="E66" s="2" t="s">
        <v>236</v>
      </c>
      <c r="F66" s="25" t="s">
        <v>236</v>
      </c>
      <c r="G66" s="26" t="s">
        <v>311</v>
      </c>
      <c r="H66" s="15">
        <v>0</v>
      </c>
      <c r="I66" s="15">
        <v>0</v>
      </c>
      <c r="J66" s="15">
        <f t="shared" si="26"/>
        <v>0</v>
      </c>
      <c r="K66" s="15">
        <v>0</v>
      </c>
      <c r="L66" s="15">
        <v>0</v>
      </c>
      <c r="M66" s="15">
        <v>0</v>
      </c>
      <c r="N66" s="15">
        <v>0</v>
      </c>
      <c r="O66" s="15">
        <f t="shared" si="3"/>
        <v>0</v>
      </c>
      <c r="P66" s="15">
        <v>0</v>
      </c>
      <c r="Q66" s="15">
        <v>0</v>
      </c>
      <c r="R66" s="331"/>
      <c r="S66" s="440"/>
      <c r="T66" s="440">
        <f t="shared" si="4"/>
        <v>0</v>
      </c>
      <c r="U66" s="15">
        <f t="shared" si="27"/>
        <v>0</v>
      </c>
      <c r="V66" s="6" t="e">
        <f t="shared" si="24"/>
        <v>#DIV/0!</v>
      </c>
    </row>
    <row r="67" spans="1:22" s="163" customFormat="1" ht="13.5" hidden="1">
      <c r="A67" s="162"/>
      <c r="B67" s="24"/>
      <c r="C67" s="24"/>
      <c r="D67" s="25" t="s">
        <v>123</v>
      </c>
      <c r="E67" s="2" t="s">
        <v>236</v>
      </c>
      <c r="F67" s="25" t="s">
        <v>236</v>
      </c>
      <c r="G67" s="26" t="s">
        <v>311</v>
      </c>
      <c r="H67" s="15">
        <v>0</v>
      </c>
      <c r="I67" s="15">
        <v>0</v>
      </c>
      <c r="J67" s="15">
        <f t="shared" si="26"/>
        <v>0</v>
      </c>
      <c r="K67" s="15">
        <v>0</v>
      </c>
      <c r="L67" s="15">
        <v>0</v>
      </c>
      <c r="M67" s="15">
        <v>0</v>
      </c>
      <c r="N67" s="15">
        <v>0</v>
      </c>
      <c r="O67" s="15">
        <f t="shared" si="3"/>
        <v>0</v>
      </c>
      <c r="P67" s="15">
        <v>0</v>
      </c>
      <c r="Q67" s="15">
        <v>0</v>
      </c>
      <c r="R67" s="331"/>
      <c r="S67" s="440"/>
      <c r="T67" s="440">
        <f t="shared" si="4"/>
        <v>0</v>
      </c>
      <c r="U67" s="15">
        <f t="shared" si="27"/>
        <v>0</v>
      </c>
      <c r="V67" s="6" t="e">
        <f t="shared" si="24"/>
        <v>#DIV/0!</v>
      </c>
    </row>
    <row r="68" spans="1:22" s="161" customFormat="1" ht="13.5" hidden="1">
      <c r="A68" s="160"/>
      <c r="B68" s="1"/>
      <c r="C68" s="1"/>
      <c r="D68" s="2" t="s">
        <v>123</v>
      </c>
      <c r="E68" s="2" t="s">
        <v>236</v>
      </c>
      <c r="F68" s="2" t="s">
        <v>236</v>
      </c>
      <c r="G68" s="26" t="s">
        <v>311</v>
      </c>
      <c r="H68" s="15">
        <v>0</v>
      </c>
      <c r="I68" s="15">
        <v>0</v>
      </c>
      <c r="J68" s="15">
        <f t="shared" si="26"/>
        <v>0</v>
      </c>
      <c r="K68" s="15">
        <v>0</v>
      </c>
      <c r="L68" s="15">
        <v>0</v>
      </c>
      <c r="M68" s="15">
        <v>0</v>
      </c>
      <c r="N68" s="15">
        <v>0</v>
      </c>
      <c r="O68" s="15">
        <f t="shared" si="3"/>
        <v>0</v>
      </c>
      <c r="P68" s="15">
        <v>0</v>
      </c>
      <c r="Q68" s="15">
        <v>0</v>
      </c>
      <c r="R68" s="331"/>
      <c r="S68" s="439"/>
      <c r="T68" s="439">
        <f t="shared" si="4"/>
        <v>0</v>
      </c>
      <c r="U68" s="15">
        <f t="shared" si="27"/>
        <v>0</v>
      </c>
      <c r="V68" s="6" t="e">
        <f t="shared" si="24"/>
        <v>#DIV/0!</v>
      </c>
    </row>
    <row r="69" spans="1:22" s="161" customFormat="1" ht="13.5" hidden="1">
      <c r="A69" s="160"/>
      <c r="B69" s="1"/>
      <c r="C69" s="1"/>
      <c r="D69" s="2" t="s">
        <v>123</v>
      </c>
      <c r="E69" s="2" t="s">
        <v>236</v>
      </c>
      <c r="F69" s="2" t="s">
        <v>236</v>
      </c>
      <c r="G69" s="26" t="s">
        <v>311</v>
      </c>
      <c r="H69" s="15">
        <v>0</v>
      </c>
      <c r="I69" s="15">
        <v>0</v>
      </c>
      <c r="J69" s="15">
        <f t="shared" si="26"/>
        <v>0</v>
      </c>
      <c r="K69" s="15">
        <v>0</v>
      </c>
      <c r="L69" s="15">
        <v>0</v>
      </c>
      <c r="M69" s="15">
        <v>0</v>
      </c>
      <c r="N69" s="15">
        <v>0</v>
      </c>
      <c r="O69" s="15">
        <f t="shared" si="3"/>
        <v>0</v>
      </c>
      <c r="P69" s="15">
        <v>0</v>
      </c>
      <c r="Q69" s="15">
        <v>0</v>
      </c>
      <c r="R69" s="331"/>
      <c r="S69" s="439"/>
      <c r="T69" s="439">
        <f t="shared" si="4"/>
        <v>0</v>
      </c>
      <c r="U69" s="15">
        <f t="shared" si="27"/>
        <v>0</v>
      </c>
      <c r="V69" s="6" t="e">
        <f t="shared" si="24"/>
        <v>#DIV/0!</v>
      </c>
    </row>
    <row r="70" spans="1:22" s="164" customFormat="1" ht="8.25" customHeight="1">
      <c r="A70" s="160"/>
      <c r="B70" s="16"/>
      <c r="C70" s="16"/>
      <c r="D70" s="17"/>
      <c r="E70" s="17"/>
      <c r="F70" s="17"/>
      <c r="G70" s="68"/>
      <c r="H70" s="15"/>
      <c r="I70" s="15"/>
      <c r="J70" s="15"/>
      <c r="K70" s="19"/>
      <c r="L70" s="19"/>
      <c r="M70" s="19"/>
      <c r="N70" s="19"/>
      <c r="O70" s="19">
        <f t="shared" si="3"/>
        <v>0</v>
      </c>
      <c r="P70" s="19"/>
      <c r="Q70" s="19"/>
      <c r="R70" s="333"/>
      <c r="S70" s="441"/>
      <c r="T70" s="441">
        <f t="shared" si="4"/>
        <v>0</v>
      </c>
      <c r="U70" s="19"/>
      <c r="V70" s="22"/>
    </row>
    <row r="71" spans="1:22" s="59" customFormat="1" ht="13.5">
      <c r="A71" s="58"/>
      <c r="B71" s="1"/>
      <c r="C71" s="1"/>
      <c r="D71" s="1">
        <v>142</v>
      </c>
      <c r="E71" s="1"/>
      <c r="F71" s="1"/>
      <c r="G71" s="29" t="s">
        <v>161</v>
      </c>
      <c r="H71" s="4">
        <f aca="true" t="shared" si="28" ref="H71:U71">SUM(H72:H78)</f>
        <v>50300000</v>
      </c>
      <c r="I71" s="4">
        <f t="shared" si="28"/>
        <v>0</v>
      </c>
      <c r="J71" s="4">
        <f t="shared" si="28"/>
        <v>50300000</v>
      </c>
      <c r="K71" s="4">
        <f t="shared" si="28"/>
        <v>73000</v>
      </c>
      <c r="L71" s="4">
        <f t="shared" si="28"/>
        <v>4912311</v>
      </c>
      <c r="M71" s="4">
        <f t="shared" si="28"/>
        <v>13861047</v>
      </c>
      <c r="N71" s="4">
        <f t="shared" si="28"/>
        <v>4493527</v>
      </c>
      <c r="O71" s="4">
        <f t="shared" si="3"/>
        <v>23339885</v>
      </c>
      <c r="P71" s="4">
        <f t="shared" si="28"/>
        <v>15579087</v>
      </c>
      <c r="Q71" s="4">
        <f>SUM(Q72:Q78)</f>
        <v>523607</v>
      </c>
      <c r="R71" s="4">
        <f>SUM(R72:R78)</f>
        <v>3791320</v>
      </c>
      <c r="S71" s="4">
        <f>SUM(S72:S78)</f>
        <v>8801459</v>
      </c>
      <c r="T71" s="4">
        <f t="shared" si="4"/>
        <v>52035358</v>
      </c>
      <c r="U71" s="4">
        <f t="shared" si="28"/>
        <v>52035358</v>
      </c>
      <c r="V71" s="6">
        <f aca="true" t="shared" si="29" ref="V71:V77">U71*100/J71</f>
        <v>103.45001590457257</v>
      </c>
    </row>
    <row r="72" spans="1:22" s="59" customFormat="1" ht="13.5">
      <c r="A72" s="58"/>
      <c r="B72" s="1"/>
      <c r="C72" s="1"/>
      <c r="D72" s="2" t="s">
        <v>124</v>
      </c>
      <c r="E72" s="2" t="s">
        <v>33</v>
      </c>
      <c r="F72" s="2" t="s">
        <v>21</v>
      </c>
      <c r="G72" s="26" t="s">
        <v>265</v>
      </c>
      <c r="H72" s="5">
        <v>0</v>
      </c>
      <c r="I72" s="5">
        <v>0</v>
      </c>
      <c r="J72" s="5">
        <f aca="true" t="shared" si="30" ref="J72:J77">H72+I72</f>
        <v>0</v>
      </c>
      <c r="K72" s="15">
        <v>0</v>
      </c>
      <c r="L72" s="15">
        <v>0</v>
      </c>
      <c r="M72" s="15">
        <v>0</v>
      </c>
      <c r="N72" s="15">
        <v>0</v>
      </c>
      <c r="O72" s="15">
        <f t="shared" si="3"/>
        <v>0</v>
      </c>
      <c r="P72" s="15">
        <v>0</v>
      </c>
      <c r="Q72" s="15">
        <v>0</v>
      </c>
      <c r="R72" s="331"/>
      <c r="S72" s="436"/>
      <c r="T72" s="436">
        <f t="shared" si="4"/>
        <v>0</v>
      </c>
      <c r="U72" s="15">
        <f aca="true" t="shared" si="31" ref="U72:U77">T72</f>
        <v>0</v>
      </c>
      <c r="V72" s="6">
        <v>0</v>
      </c>
    </row>
    <row r="73" spans="1:22" s="59" customFormat="1" ht="13.5">
      <c r="A73" s="58"/>
      <c r="B73" s="1"/>
      <c r="C73" s="1"/>
      <c r="D73" s="2" t="s">
        <v>124</v>
      </c>
      <c r="E73" s="2" t="s">
        <v>64</v>
      </c>
      <c r="F73" s="2" t="s">
        <v>21</v>
      </c>
      <c r="G73" s="26" t="s">
        <v>266</v>
      </c>
      <c r="H73" s="5">
        <v>0</v>
      </c>
      <c r="I73" s="5">
        <v>0</v>
      </c>
      <c r="J73" s="5">
        <f t="shared" si="30"/>
        <v>0</v>
      </c>
      <c r="K73" s="15">
        <v>0</v>
      </c>
      <c r="L73" s="15">
        <v>0</v>
      </c>
      <c r="M73" s="15">
        <v>0</v>
      </c>
      <c r="N73" s="15">
        <v>0</v>
      </c>
      <c r="O73" s="15">
        <f aca="true" t="shared" si="32" ref="O73:O136">SUM(K73:N73)</f>
        <v>0</v>
      </c>
      <c r="P73" s="15">
        <v>0</v>
      </c>
      <c r="Q73" s="15">
        <v>0</v>
      </c>
      <c r="R73" s="331"/>
      <c r="S73" s="436"/>
      <c r="T73" s="436">
        <f aca="true" t="shared" si="33" ref="T73:T136">SUM(O73:S73)</f>
        <v>0</v>
      </c>
      <c r="U73" s="15">
        <f t="shared" si="31"/>
        <v>0</v>
      </c>
      <c r="V73" s="6">
        <v>0</v>
      </c>
    </row>
    <row r="74" spans="1:22" s="59" customFormat="1" ht="13.5">
      <c r="A74" s="58"/>
      <c r="B74" s="1"/>
      <c r="C74" s="1"/>
      <c r="D74" s="2" t="s">
        <v>124</v>
      </c>
      <c r="E74" s="2" t="s">
        <v>32</v>
      </c>
      <c r="F74" s="2" t="s">
        <v>21</v>
      </c>
      <c r="G74" s="26" t="s">
        <v>277</v>
      </c>
      <c r="H74" s="5">
        <v>600000</v>
      </c>
      <c r="I74" s="5">
        <v>0</v>
      </c>
      <c r="J74" s="5">
        <f t="shared" si="30"/>
        <v>600000</v>
      </c>
      <c r="K74" s="324" t="s">
        <v>513</v>
      </c>
      <c r="L74" s="15">
        <v>0</v>
      </c>
      <c r="M74" s="15">
        <v>0</v>
      </c>
      <c r="N74" s="15">
        <v>0</v>
      </c>
      <c r="O74" s="15">
        <f t="shared" si="32"/>
        <v>0</v>
      </c>
      <c r="P74" s="15">
        <v>0</v>
      </c>
      <c r="Q74" s="15">
        <v>0</v>
      </c>
      <c r="R74" s="331"/>
      <c r="S74" s="436"/>
      <c r="T74" s="436">
        <f t="shared" si="33"/>
        <v>0</v>
      </c>
      <c r="U74" s="15">
        <f t="shared" si="31"/>
        <v>0</v>
      </c>
      <c r="V74" s="6">
        <f t="shared" si="29"/>
        <v>0</v>
      </c>
    </row>
    <row r="75" spans="1:22" s="59" customFormat="1" ht="13.5">
      <c r="A75" s="58"/>
      <c r="B75" s="1"/>
      <c r="C75" s="1"/>
      <c r="D75" s="2" t="s">
        <v>124</v>
      </c>
      <c r="E75" s="2" t="s">
        <v>194</v>
      </c>
      <c r="F75" s="2" t="s">
        <v>21</v>
      </c>
      <c r="G75" s="26" t="s">
        <v>278</v>
      </c>
      <c r="H75" s="5">
        <v>600000</v>
      </c>
      <c r="I75" s="5">
        <v>0</v>
      </c>
      <c r="J75" s="5">
        <f t="shared" si="30"/>
        <v>600000</v>
      </c>
      <c r="K75" s="15">
        <v>0</v>
      </c>
      <c r="L75" s="15">
        <v>0</v>
      </c>
      <c r="M75" s="15">
        <v>0</v>
      </c>
      <c r="N75" s="15">
        <v>0</v>
      </c>
      <c r="O75" s="15">
        <f t="shared" si="32"/>
        <v>0</v>
      </c>
      <c r="P75" s="15">
        <v>0</v>
      </c>
      <c r="Q75" s="15">
        <v>0</v>
      </c>
      <c r="R75" s="331"/>
      <c r="S75" s="436"/>
      <c r="T75" s="436">
        <f t="shared" si="33"/>
        <v>0</v>
      </c>
      <c r="U75" s="15">
        <f t="shared" si="31"/>
        <v>0</v>
      </c>
      <c r="V75" s="6">
        <f t="shared" si="29"/>
        <v>0</v>
      </c>
    </row>
    <row r="76" spans="1:22" s="59" customFormat="1" ht="13.5">
      <c r="A76" s="58"/>
      <c r="B76" s="1"/>
      <c r="C76" s="1"/>
      <c r="D76" s="2" t="s">
        <v>124</v>
      </c>
      <c r="E76" s="2" t="s">
        <v>98</v>
      </c>
      <c r="F76" s="2" t="s">
        <v>21</v>
      </c>
      <c r="G76" s="26" t="s">
        <v>125</v>
      </c>
      <c r="H76" s="5">
        <v>3600000</v>
      </c>
      <c r="I76" s="5">
        <v>0</v>
      </c>
      <c r="J76" s="5">
        <f t="shared" si="30"/>
        <v>3600000</v>
      </c>
      <c r="K76" s="15">
        <v>0</v>
      </c>
      <c r="L76" s="15">
        <v>0</v>
      </c>
      <c r="M76" s="15">
        <v>0</v>
      </c>
      <c r="N76" s="15">
        <v>0</v>
      </c>
      <c r="O76" s="15">
        <f t="shared" si="32"/>
        <v>0</v>
      </c>
      <c r="P76" s="15">
        <v>0</v>
      </c>
      <c r="Q76" s="15">
        <v>0</v>
      </c>
      <c r="R76" s="331">
        <f>+HOJA2!I66</f>
        <v>1380000</v>
      </c>
      <c r="S76" s="436"/>
      <c r="T76" s="436">
        <f t="shared" si="33"/>
        <v>1380000</v>
      </c>
      <c r="U76" s="15">
        <f t="shared" si="31"/>
        <v>1380000</v>
      </c>
      <c r="V76" s="6">
        <f t="shared" si="29"/>
        <v>38.333333333333336</v>
      </c>
    </row>
    <row r="77" spans="1:22" s="59" customFormat="1" ht="13.5">
      <c r="A77" s="58"/>
      <c r="B77" s="1"/>
      <c r="C77" s="1"/>
      <c r="D77" s="2" t="s">
        <v>124</v>
      </c>
      <c r="E77" s="2" t="s">
        <v>99</v>
      </c>
      <c r="F77" s="2" t="s">
        <v>21</v>
      </c>
      <c r="G77" s="26" t="s">
        <v>126</v>
      </c>
      <c r="H77" s="5">
        <v>45500000</v>
      </c>
      <c r="I77" s="5">
        <v>0</v>
      </c>
      <c r="J77" s="5">
        <f t="shared" si="30"/>
        <v>45500000</v>
      </c>
      <c r="K77" s="15">
        <v>73000</v>
      </c>
      <c r="L77" s="15">
        <v>4912311</v>
      </c>
      <c r="M77" s="15">
        <v>13861047</v>
      </c>
      <c r="N77" s="15">
        <v>4493527</v>
      </c>
      <c r="O77" s="15">
        <f t="shared" si="32"/>
        <v>23339885</v>
      </c>
      <c r="P77" s="15">
        <v>15579087</v>
      </c>
      <c r="Q77" s="15">
        <v>523607</v>
      </c>
      <c r="R77" s="331">
        <f>+HOJA2!I67</f>
        <v>2411320</v>
      </c>
      <c r="S77" s="436">
        <f>+HOJA2!O38</f>
        <v>8801459</v>
      </c>
      <c r="T77" s="436">
        <f t="shared" si="33"/>
        <v>50655358</v>
      </c>
      <c r="U77" s="15">
        <f t="shared" si="31"/>
        <v>50655358</v>
      </c>
      <c r="V77" s="6">
        <f t="shared" si="29"/>
        <v>111.33045714285714</v>
      </c>
    </row>
    <row r="78" spans="2:22" s="59" customFormat="1" ht="8.25" customHeight="1">
      <c r="B78" s="1"/>
      <c r="C78" s="1"/>
      <c r="D78" s="2"/>
      <c r="E78" s="2"/>
      <c r="F78" s="2"/>
      <c r="G78" s="26"/>
      <c r="H78" s="5"/>
      <c r="I78" s="5"/>
      <c r="J78" s="5"/>
      <c r="K78" s="5"/>
      <c r="L78" s="5"/>
      <c r="M78" s="5"/>
      <c r="N78" s="5"/>
      <c r="O78" s="5">
        <f t="shared" si="32"/>
        <v>0</v>
      </c>
      <c r="P78" s="5"/>
      <c r="Q78" s="5"/>
      <c r="R78" s="334"/>
      <c r="S78" s="436"/>
      <c r="T78" s="436">
        <f t="shared" si="33"/>
        <v>0</v>
      </c>
      <c r="U78" s="5"/>
      <c r="V78" s="6"/>
    </row>
    <row r="79" spans="1:22" s="161" customFormat="1" ht="13.5">
      <c r="A79" s="160"/>
      <c r="B79" s="1"/>
      <c r="C79" s="1">
        <v>150</v>
      </c>
      <c r="D79" s="1"/>
      <c r="E79" s="1"/>
      <c r="F79" s="1"/>
      <c r="G79" s="29" t="s">
        <v>127</v>
      </c>
      <c r="H79" s="4">
        <f aca="true" t="shared" si="34" ref="H79:U79">H80+H85</f>
        <v>556390017</v>
      </c>
      <c r="I79" s="419">
        <f t="shared" si="34"/>
        <v>-31698101</v>
      </c>
      <c r="J79" s="4">
        <f t="shared" si="34"/>
        <v>524691916</v>
      </c>
      <c r="K79" s="4">
        <f t="shared" si="34"/>
        <v>66166633</v>
      </c>
      <c r="L79" s="4">
        <f t="shared" si="34"/>
        <v>0</v>
      </c>
      <c r="M79" s="4">
        <f t="shared" si="34"/>
        <v>133951622</v>
      </c>
      <c r="N79" s="4">
        <f t="shared" si="34"/>
        <v>0</v>
      </c>
      <c r="O79" s="4">
        <f t="shared" si="32"/>
        <v>200118255</v>
      </c>
      <c r="P79" s="4">
        <f t="shared" si="34"/>
        <v>0</v>
      </c>
      <c r="Q79" s="4">
        <f>Q80+Q85</f>
        <v>0</v>
      </c>
      <c r="R79" s="4">
        <f>+R80</f>
        <v>178309427</v>
      </c>
      <c r="S79" s="419">
        <f>S80+S85</f>
        <v>37529239</v>
      </c>
      <c r="T79" s="419">
        <f t="shared" si="33"/>
        <v>415956921</v>
      </c>
      <c r="U79" s="4">
        <f t="shared" si="34"/>
        <v>415956921</v>
      </c>
      <c r="V79" s="6">
        <f>U79*100/J79</f>
        <v>79.27641122643102</v>
      </c>
    </row>
    <row r="80" spans="1:22" s="59" customFormat="1" ht="20.25">
      <c r="A80" s="58"/>
      <c r="B80" s="1"/>
      <c r="C80" s="1"/>
      <c r="D80" s="1">
        <v>153</v>
      </c>
      <c r="E80" s="1"/>
      <c r="F80" s="1"/>
      <c r="G80" s="29" t="s">
        <v>267</v>
      </c>
      <c r="H80" s="4">
        <f>SUM(H81:H83)</f>
        <v>556390017</v>
      </c>
      <c r="I80" s="419">
        <f aca="true" t="shared" si="35" ref="I80:P80">SUM(I81:I83)</f>
        <v>-31698101</v>
      </c>
      <c r="J80" s="4">
        <f t="shared" si="35"/>
        <v>524691916</v>
      </c>
      <c r="K80" s="4">
        <f t="shared" si="35"/>
        <v>66166633</v>
      </c>
      <c r="L80" s="4">
        <f t="shared" si="35"/>
        <v>0</v>
      </c>
      <c r="M80" s="4">
        <f t="shared" si="35"/>
        <v>133951622</v>
      </c>
      <c r="N80" s="4">
        <f t="shared" si="35"/>
        <v>0</v>
      </c>
      <c r="O80" s="4">
        <f t="shared" si="32"/>
        <v>200118255</v>
      </c>
      <c r="P80" s="4">
        <f t="shared" si="35"/>
        <v>0</v>
      </c>
      <c r="Q80" s="4">
        <f>SUM(Q81:Q83)</f>
        <v>0</v>
      </c>
      <c r="R80" s="4">
        <f>SUM(R81:R83)</f>
        <v>178309427</v>
      </c>
      <c r="S80" s="419">
        <f>SUM(S81:S83)</f>
        <v>37529239</v>
      </c>
      <c r="T80" s="419">
        <f t="shared" si="33"/>
        <v>415956921</v>
      </c>
      <c r="U80" s="4">
        <f>SUM(U81:U83)</f>
        <v>415956921</v>
      </c>
      <c r="V80" s="6">
        <f>U80*100/J80</f>
        <v>79.27641122643102</v>
      </c>
    </row>
    <row r="81" spans="1:22" s="59" customFormat="1" ht="13.5">
      <c r="A81" s="58"/>
      <c r="B81" s="1"/>
      <c r="C81" s="1"/>
      <c r="D81" s="2" t="s">
        <v>128</v>
      </c>
      <c r="E81" s="2" t="s">
        <v>129</v>
      </c>
      <c r="F81" s="2" t="s">
        <v>32</v>
      </c>
      <c r="G81" s="26" t="s">
        <v>0</v>
      </c>
      <c r="H81" s="15">
        <v>284154906</v>
      </c>
      <c r="I81" s="420">
        <v>-30309856</v>
      </c>
      <c r="J81" s="15">
        <f>H81+I81</f>
        <v>253845050</v>
      </c>
      <c r="K81" s="15">
        <v>66166633</v>
      </c>
      <c r="L81" s="15">
        <v>0</v>
      </c>
      <c r="M81" s="15">
        <v>83104410</v>
      </c>
      <c r="N81" s="15">
        <v>0</v>
      </c>
      <c r="O81" s="15">
        <f t="shared" si="32"/>
        <v>149271043</v>
      </c>
      <c r="P81" s="15">
        <v>0</v>
      </c>
      <c r="Q81" s="15">
        <v>0</v>
      </c>
      <c r="R81" s="331">
        <v>95647707</v>
      </c>
      <c r="S81" s="436">
        <v>19269076</v>
      </c>
      <c r="T81" s="436">
        <f t="shared" si="33"/>
        <v>264187826</v>
      </c>
      <c r="U81" s="15">
        <f>T81</f>
        <v>264187826</v>
      </c>
      <c r="V81" s="6">
        <f>U81*100/J81</f>
        <v>104.07444462675163</v>
      </c>
    </row>
    <row r="82" spans="1:22" s="59" customFormat="1" ht="13.5">
      <c r="A82" s="58"/>
      <c r="B82" s="1"/>
      <c r="C82" s="1"/>
      <c r="D82" s="2" t="s">
        <v>128</v>
      </c>
      <c r="E82" s="2" t="s">
        <v>129</v>
      </c>
      <c r="F82" s="2" t="s">
        <v>55</v>
      </c>
      <c r="G82" s="26" t="s">
        <v>478</v>
      </c>
      <c r="H82" s="7">
        <v>212235111</v>
      </c>
      <c r="I82" s="420">
        <v>10611755</v>
      </c>
      <c r="J82" s="15">
        <f>H82+I82</f>
        <v>222846866</v>
      </c>
      <c r="K82" s="15">
        <v>0</v>
      </c>
      <c r="L82" s="15">
        <v>0</v>
      </c>
      <c r="M82" s="15">
        <v>32195574</v>
      </c>
      <c r="N82" s="15">
        <v>0</v>
      </c>
      <c r="O82" s="15">
        <f t="shared" si="32"/>
        <v>32195574</v>
      </c>
      <c r="P82" s="15">
        <v>0</v>
      </c>
      <c r="Q82" s="15">
        <v>0</v>
      </c>
      <c r="R82" s="331">
        <v>64794234</v>
      </c>
      <c r="S82" s="436">
        <v>5996087</v>
      </c>
      <c r="T82" s="436">
        <f t="shared" si="33"/>
        <v>102985895</v>
      </c>
      <c r="U82" s="15">
        <f>T82</f>
        <v>102985895</v>
      </c>
      <c r="V82" s="6">
        <f>U82*100/J82</f>
        <v>46.213750656919714</v>
      </c>
    </row>
    <row r="83" spans="1:22" s="59" customFormat="1" ht="20.25">
      <c r="A83" s="58"/>
      <c r="B83" s="1"/>
      <c r="C83" s="1"/>
      <c r="D83" s="2" t="s">
        <v>128</v>
      </c>
      <c r="E83" s="2" t="s">
        <v>130</v>
      </c>
      <c r="F83" s="2" t="s">
        <v>33</v>
      </c>
      <c r="G83" s="26" t="s">
        <v>201</v>
      </c>
      <c r="H83" s="15">
        <v>60000000</v>
      </c>
      <c r="I83" s="420">
        <v>-12000000</v>
      </c>
      <c r="J83" s="15">
        <f>H83+I83</f>
        <v>48000000</v>
      </c>
      <c r="K83" s="15">
        <v>0</v>
      </c>
      <c r="L83" s="15">
        <v>0</v>
      </c>
      <c r="M83" s="15">
        <v>18651638</v>
      </c>
      <c r="N83" s="15">
        <v>0</v>
      </c>
      <c r="O83" s="15">
        <f t="shared" si="32"/>
        <v>18651638</v>
      </c>
      <c r="P83" s="15">
        <v>0</v>
      </c>
      <c r="Q83" s="15">
        <v>0</v>
      </c>
      <c r="R83" s="331">
        <f>+HOJA2!I68</f>
        <v>17867486</v>
      </c>
      <c r="S83" s="436">
        <f>+HOJA2!O39</f>
        <v>12264076</v>
      </c>
      <c r="T83" s="436">
        <f>SUM(O83:S83)</f>
        <v>48783200</v>
      </c>
      <c r="U83" s="15">
        <f>T83</f>
        <v>48783200</v>
      </c>
      <c r="V83" s="6">
        <f>U83*100/J83</f>
        <v>101.63166666666666</v>
      </c>
    </row>
    <row r="84" spans="2:22" s="59" customFormat="1" ht="8.25" customHeight="1">
      <c r="B84" s="1"/>
      <c r="C84" s="1"/>
      <c r="D84" s="2"/>
      <c r="E84" s="2"/>
      <c r="F84" s="2"/>
      <c r="G84" s="26"/>
      <c r="H84" s="15"/>
      <c r="I84" s="420"/>
      <c r="J84" s="15"/>
      <c r="K84" s="15"/>
      <c r="L84" s="15"/>
      <c r="M84" s="15"/>
      <c r="N84" s="15"/>
      <c r="O84" s="15">
        <f t="shared" si="32"/>
        <v>0</v>
      </c>
      <c r="P84" s="15"/>
      <c r="Q84" s="15"/>
      <c r="R84" s="331"/>
      <c r="S84" s="436"/>
      <c r="T84" s="436">
        <f t="shared" si="33"/>
        <v>0</v>
      </c>
      <c r="U84" s="15"/>
      <c r="V84" s="6"/>
    </row>
    <row r="85" spans="1:22" s="59" customFormat="1" ht="20.25">
      <c r="A85" s="58"/>
      <c r="B85" s="1"/>
      <c r="C85" s="1"/>
      <c r="D85" s="1" t="s">
        <v>209</v>
      </c>
      <c r="E85" s="1"/>
      <c r="F85" s="1"/>
      <c r="G85" s="29" t="s">
        <v>269</v>
      </c>
      <c r="H85" s="4">
        <f aca="true" t="shared" si="36" ref="H85:U85">H86</f>
        <v>0</v>
      </c>
      <c r="I85" s="4">
        <f t="shared" si="36"/>
        <v>0</v>
      </c>
      <c r="J85" s="4">
        <f t="shared" si="36"/>
        <v>0</v>
      </c>
      <c r="K85" s="4">
        <f t="shared" si="36"/>
        <v>0</v>
      </c>
      <c r="L85" s="4">
        <f t="shared" si="36"/>
        <v>0</v>
      </c>
      <c r="M85" s="4">
        <f t="shared" si="36"/>
        <v>0</v>
      </c>
      <c r="N85" s="4">
        <f t="shared" si="36"/>
        <v>0</v>
      </c>
      <c r="O85" s="4">
        <f t="shared" si="32"/>
        <v>0</v>
      </c>
      <c r="P85" s="4">
        <f t="shared" si="36"/>
        <v>0</v>
      </c>
      <c r="Q85" s="4">
        <f>Q86</f>
        <v>0</v>
      </c>
      <c r="R85" s="332"/>
      <c r="S85" s="436"/>
      <c r="T85" s="436">
        <f t="shared" si="33"/>
        <v>0</v>
      </c>
      <c r="U85" s="4">
        <f t="shared" si="36"/>
        <v>0</v>
      </c>
      <c r="V85" s="6">
        <v>0</v>
      </c>
    </row>
    <row r="86" spans="1:23" s="59" customFormat="1" ht="13.5">
      <c r="A86" s="58"/>
      <c r="B86" s="1"/>
      <c r="C86" s="1"/>
      <c r="D86" s="2" t="s">
        <v>209</v>
      </c>
      <c r="E86" s="2" t="s">
        <v>147</v>
      </c>
      <c r="F86" s="2" t="s">
        <v>58</v>
      </c>
      <c r="G86" s="26" t="s">
        <v>210</v>
      </c>
      <c r="H86" s="15">
        <v>0</v>
      </c>
      <c r="I86" s="15">
        <v>0</v>
      </c>
      <c r="J86" s="15">
        <f>H86+I86</f>
        <v>0</v>
      </c>
      <c r="K86" s="15">
        <v>0</v>
      </c>
      <c r="L86" s="15">
        <v>0</v>
      </c>
      <c r="M86" s="15">
        <v>0</v>
      </c>
      <c r="N86" s="15">
        <v>0</v>
      </c>
      <c r="O86" s="15">
        <f t="shared" si="32"/>
        <v>0</v>
      </c>
      <c r="P86" s="15">
        <v>0</v>
      </c>
      <c r="Q86" s="15">
        <v>0</v>
      </c>
      <c r="R86" s="331"/>
      <c r="S86" s="436"/>
      <c r="T86" s="436">
        <f t="shared" si="33"/>
        <v>0</v>
      </c>
      <c r="U86" s="15">
        <f>T86</f>
        <v>0</v>
      </c>
      <c r="V86" s="6">
        <v>0</v>
      </c>
      <c r="W86" s="323">
        <f>SUM(K86:R86)</f>
        <v>0</v>
      </c>
    </row>
    <row r="87" spans="1:22" s="60" customFormat="1" ht="13.5">
      <c r="A87" s="58"/>
      <c r="B87" s="16"/>
      <c r="C87" s="16"/>
      <c r="D87" s="17"/>
      <c r="E87" s="17"/>
      <c r="F87" s="17"/>
      <c r="G87" s="68"/>
      <c r="H87" s="15"/>
      <c r="I87" s="15"/>
      <c r="J87" s="15"/>
      <c r="K87" s="19"/>
      <c r="L87" s="19"/>
      <c r="M87" s="19"/>
      <c r="N87" s="19"/>
      <c r="O87" s="19">
        <f t="shared" si="32"/>
        <v>0</v>
      </c>
      <c r="P87" s="19"/>
      <c r="Q87" s="19"/>
      <c r="R87" s="333"/>
      <c r="S87" s="437"/>
      <c r="T87" s="437">
        <f t="shared" si="33"/>
        <v>0</v>
      </c>
      <c r="U87" s="20"/>
      <c r="V87" s="22"/>
    </row>
    <row r="88" spans="1:22" s="59" customFormat="1" ht="13.5">
      <c r="A88" s="58"/>
      <c r="B88" s="1"/>
      <c r="C88" s="1">
        <v>160</v>
      </c>
      <c r="D88" s="2"/>
      <c r="E88" s="2"/>
      <c r="F88" s="2"/>
      <c r="G88" s="29" t="s">
        <v>131</v>
      </c>
      <c r="H88" s="4">
        <f>H89+H92</f>
        <v>33550000</v>
      </c>
      <c r="I88" s="4">
        <f aca="true" t="shared" si="37" ref="I88:P88">I89+I92</f>
        <v>0</v>
      </c>
      <c r="J88" s="4">
        <f t="shared" si="37"/>
        <v>33550000</v>
      </c>
      <c r="K88" s="4">
        <f t="shared" si="37"/>
        <v>80000</v>
      </c>
      <c r="L88" s="4">
        <f t="shared" si="37"/>
        <v>0</v>
      </c>
      <c r="M88" s="4">
        <f t="shared" si="37"/>
        <v>0</v>
      </c>
      <c r="N88" s="4">
        <f t="shared" si="37"/>
        <v>0</v>
      </c>
      <c r="O88" s="4">
        <f t="shared" si="32"/>
        <v>80000</v>
      </c>
      <c r="P88" s="4">
        <f t="shared" si="37"/>
        <v>200000</v>
      </c>
      <c r="Q88" s="4">
        <f>Q89+Q92</f>
        <v>0</v>
      </c>
      <c r="R88" s="332"/>
      <c r="S88" s="436"/>
      <c r="T88" s="436">
        <f t="shared" si="33"/>
        <v>280000</v>
      </c>
      <c r="U88" s="4">
        <f>U89+U92</f>
        <v>280000</v>
      </c>
      <c r="V88" s="6">
        <f aca="true" t="shared" si="38" ref="V88:V107">U88*100/J88</f>
        <v>0.834575260804769</v>
      </c>
    </row>
    <row r="89" spans="1:22" s="59" customFormat="1" ht="15" customHeight="1">
      <c r="A89" s="58"/>
      <c r="B89" s="1"/>
      <c r="C89" s="1"/>
      <c r="D89" s="1" t="s">
        <v>211</v>
      </c>
      <c r="E89" s="2"/>
      <c r="F89" s="2"/>
      <c r="G89" s="29" t="s">
        <v>212</v>
      </c>
      <c r="H89" s="4">
        <f>SUM(H90:H91)</f>
        <v>0</v>
      </c>
      <c r="I89" s="4">
        <f aca="true" t="shared" si="39" ref="I89:P89">SUM(I90:I91)</f>
        <v>0</v>
      </c>
      <c r="J89" s="4">
        <f t="shared" si="39"/>
        <v>0</v>
      </c>
      <c r="K89" s="4">
        <f t="shared" si="39"/>
        <v>0</v>
      </c>
      <c r="L89" s="4">
        <f t="shared" si="39"/>
        <v>0</v>
      </c>
      <c r="M89" s="4">
        <f t="shared" si="39"/>
        <v>0</v>
      </c>
      <c r="N89" s="4">
        <f t="shared" si="39"/>
        <v>0</v>
      </c>
      <c r="O89" s="4">
        <f t="shared" si="32"/>
        <v>0</v>
      </c>
      <c r="P89" s="4">
        <f t="shared" si="39"/>
        <v>0</v>
      </c>
      <c r="Q89" s="4">
        <f>SUM(Q90:Q91)</f>
        <v>0</v>
      </c>
      <c r="R89" s="332"/>
      <c r="S89" s="436"/>
      <c r="T89" s="436">
        <f t="shared" si="33"/>
        <v>0</v>
      </c>
      <c r="U89" s="4">
        <f>SUM(U90:U91)</f>
        <v>0</v>
      </c>
      <c r="V89" s="6">
        <v>0</v>
      </c>
    </row>
    <row r="90" spans="1:22" s="59" customFormat="1" ht="13.5">
      <c r="A90" s="58"/>
      <c r="B90" s="1"/>
      <c r="C90" s="1"/>
      <c r="D90" s="2" t="s">
        <v>211</v>
      </c>
      <c r="E90" s="2" t="s">
        <v>54</v>
      </c>
      <c r="F90" s="2" t="s">
        <v>21</v>
      </c>
      <c r="G90" s="26" t="s">
        <v>213</v>
      </c>
      <c r="H90" s="15">
        <v>0</v>
      </c>
      <c r="I90" s="15">
        <v>0</v>
      </c>
      <c r="J90" s="15">
        <f>H90+I90</f>
        <v>0</v>
      </c>
      <c r="K90" s="15">
        <v>0</v>
      </c>
      <c r="L90" s="15">
        <v>0</v>
      </c>
      <c r="M90" s="15">
        <v>0</v>
      </c>
      <c r="N90" s="15">
        <v>0</v>
      </c>
      <c r="O90" s="15">
        <f t="shared" si="32"/>
        <v>0</v>
      </c>
      <c r="P90" s="15">
        <v>0</v>
      </c>
      <c r="Q90" s="15">
        <v>0</v>
      </c>
      <c r="R90" s="331"/>
      <c r="S90" s="436"/>
      <c r="T90" s="436">
        <f t="shared" si="33"/>
        <v>0</v>
      </c>
      <c r="U90" s="15">
        <f>T90</f>
        <v>0</v>
      </c>
      <c r="V90" s="6">
        <v>0</v>
      </c>
    </row>
    <row r="91" spans="1:22" s="59" customFormat="1" ht="16.5" customHeight="1">
      <c r="A91" s="58"/>
      <c r="B91" s="2"/>
      <c r="C91" s="2"/>
      <c r="D91" s="2"/>
      <c r="E91" s="2"/>
      <c r="F91" s="2"/>
      <c r="G91" s="26"/>
      <c r="H91" s="15"/>
      <c r="I91" s="15"/>
      <c r="J91" s="15"/>
      <c r="K91" s="15"/>
      <c r="L91" s="15"/>
      <c r="M91" s="15"/>
      <c r="N91" s="15"/>
      <c r="O91" s="15">
        <f t="shared" si="32"/>
        <v>0</v>
      </c>
      <c r="P91" s="15"/>
      <c r="Q91" s="15"/>
      <c r="R91" s="331"/>
      <c r="S91" s="436"/>
      <c r="T91" s="436">
        <f t="shared" si="33"/>
        <v>0</v>
      </c>
      <c r="U91" s="15"/>
      <c r="V91" s="6">
        <v>0</v>
      </c>
    </row>
    <row r="92" spans="1:22" s="59" customFormat="1" ht="20.25">
      <c r="A92" s="58"/>
      <c r="B92" s="1"/>
      <c r="C92" s="1"/>
      <c r="D92" s="1">
        <v>163</v>
      </c>
      <c r="E92" s="2"/>
      <c r="F92" s="2"/>
      <c r="G92" s="29" t="s">
        <v>162</v>
      </c>
      <c r="H92" s="4">
        <f aca="true" t="shared" si="40" ref="H92:U92">SUM(H93:H107)</f>
        <v>33550000</v>
      </c>
      <c r="I92" s="4">
        <f t="shared" si="40"/>
        <v>0</v>
      </c>
      <c r="J92" s="4">
        <f t="shared" si="40"/>
        <v>33550000</v>
      </c>
      <c r="K92" s="4">
        <f t="shared" si="40"/>
        <v>80000</v>
      </c>
      <c r="L92" s="4">
        <f t="shared" si="40"/>
        <v>0</v>
      </c>
      <c r="M92" s="4">
        <f t="shared" si="40"/>
        <v>0</v>
      </c>
      <c r="N92" s="4">
        <f t="shared" si="40"/>
        <v>0</v>
      </c>
      <c r="O92" s="4">
        <f t="shared" si="32"/>
        <v>80000</v>
      </c>
      <c r="P92" s="4">
        <f t="shared" si="40"/>
        <v>200000</v>
      </c>
      <c r="Q92" s="4">
        <f t="shared" si="40"/>
        <v>0</v>
      </c>
      <c r="R92" s="4">
        <f t="shared" si="40"/>
        <v>0</v>
      </c>
      <c r="S92" s="4">
        <f t="shared" si="40"/>
        <v>0</v>
      </c>
      <c r="T92" s="4">
        <f t="shared" si="33"/>
        <v>280000</v>
      </c>
      <c r="U92" s="4">
        <f t="shared" si="40"/>
        <v>280000</v>
      </c>
      <c r="V92" s="6">
        <f t="shared" si="38"/>
        <v>0.834575260804769</v>
      </c>
    </row>
    <row r="93" spans="1:22" s="59" customFormat="1" ht="13.5">
      <c r="A93" s="58"/>
      <c r="B93" s="1"/>
      <c r="C93" s="1"/>
      <c r="D93" s="2" t="s">
        <v>132</v>
      </c>
      <c r="E93" s="2" t="s">
        <v>64</v>
      </c>
      <c r="F93" s="2" t="s">
        <v>21</v>
      </c>
      <c r="G93" s="26" t="s">
        <v>249</v>
      </c>
      <c r="H93" s="15">
        <v>10500000</v>
      </c>
      <c r="I93" s="15">
        <v>0</v>
      </c>
      <c r="J93" s="15">
        <f aca="true" t="shared" si="41" ref="J93:J107">H93+I93</f>
        <v>10500000</v>
      </c>
      <c r="K93" s="15">
        <v>0</v>
      </c>
      <c r="L93" s="15">
        <v>0</v>
      </c>
      <c r="M93" s="15">
        <v>0</v>
      </c>
      <c r="N93" s="15">
        <v>0</v>
      </c>
      <c r="O93" s="15">
        <f t="shared" si="32"/>
        <v>0</v>
      </c>
      <c r="P93" s="15">
        <v>0</v>
      </c>
      <c r="Q93" s="15">
        <v>0</v>
      </c>
      <c r="R93" s="331"/>
      <c r="S93" s="436"/>
      <c r="T93" s="436">
        <f t="shared" si="33"/>
        <v>0</v>
      </c>
      <c r="U93" s="15">
        <f aca="true" t="shared" si="42" ref="U93:U107">T93</f>
        <v>0</v>
      </c>
      <c r="V93" s="6">
        <f t="shared" si="38"/>
        <v>0</v>
      </c>
    </row>
    <row r="94" spans="1:22" s="59" customFormat="1" ht="13.5">
      <c r="A94" s="58"/>
      <c r="B94" s="1"/>
      <c r="C94" s="1"/>
      <c r="D94" s="2" t="s">
        <v>132</v>
      </c>
      <c r="E94" s="2" t="s">
        <v>194</v>
      </c>
      <c r="F94" s="2" t="s">
        <v>21</v>
      </c>
      <c r="G94" s="26" t="s">
        <v>167</v>
      </c>
      <c r="H94" s="15">
        <v>550000</v>
      </c>
      <c r="I94" s="15">
        <v>0</v>
      </c>
      <c r="J94" s="15">
        <f t="shared" si="41"/>
        <v>550000</v>
      </c>
      <c r="K94" s="15">
        <v>0</v>
      </c>
      <c r="L94" s="15">
        <v>0</v>
      </c>
      <c r="M94" s="15">
        <v>0</v>
      </c>
      <c r="N94" s="15">
        <v>0</v>
      </c>
      <c r="O94" s="15">
        <f t="shared" si="32"/>
        <v>0</v>
      </c>
      <c r="P94" s="15">
        <v>0</v>
      </c>
      <c r="Q94" s="15">
        <v>0</v>
      </c>
      <c r="R94" s="331"/>
      <c r="S94" s="436"/>
      <c r="T94" s="436">
        <f t="shared" si="33"/>
        <v>0</v>
      </c>
      <c r="U94" s="15">
        <f t="shared" si="42"/>
        <v>0</v>
      </c>
      <c r="V94" s="6">
        <f t="shared" si="38"/>
        <v>0</v>
      </c>
    </row>
    <row r="95" spans="1:22" s="59" customFormat="1" ht="13.5">
      <c r="A95" s="58"/>
      <c r="B95" s="1"/>
      <c r="C95" s="1"/>
      <c r="D95" s="2" t="s">
        <v>132</v>
      </c>
      <c r="E95" s="2" t="s">
        <v>65</v>
      </c>
      <c r="F95" s="2" t="s">
        <v>21</v>
      </c>
      <c r="G95" s="26" t="s">
        <v>168</v>
      </c>
      <c r="H95" s="15">
        <v>550000</v>
      </c>
      <c r="I95" s="15">
        <v>0</v>
      </c>
      <c r="J95" s="15">
        <f t="shared" si="41"/>
        <v>550000</v>
      </c>
      <c r="K95" s="15">
        <v>80000</v>
      </c>
      <c r="L95" s="15">
        <v>0</v>
      </c>
      <c r="M95" s="15">
        <v>0</v>
      </c>
      <c r="N95" s="15">
        <v>0</v>
      </c>
      <c r="O95" s="15">
        <f t="shared" si="32"/>
        <v>80000</v>
      </c>
      <c r="P95" s="15">
        <v>200000</v>
      </c>
      <c r="Q95" s="15">
        <v>0</v>
      </c>
      <c r="R95" s="331"/>
      <c r="S95" s="436"/>
      <c r="T95" s="436">
        <f t="shared" si="33"/>
        <v>280000</v>
      </c>
      <c r="U95" s="15">
        <f t="shared" si="42"/>
        <v>280000</v>
      </c>
      <c r="V95" s="6">
        <f t="shared" si="38"/>
        <v>50.90909090909091</v>
      </c>
    </row>
    <row r="96" spans="1:22" s="59" customFormat="1" ht="13.5">
      <c r="A96" s="58"/>
      <c r="B96" s="1"/>
      <c r="C96" s="1"/>
      <c r="D96" s="2" t="s">
        <v>132</v>
      </c>
      <c r="E96" s="2" t="s">
        <v>98</v>
      </c>
      <c r="F96" s="2" t="s">
        <v>21</v>
      </c>
      <c r="G96" s="26" t="s">
        <v>215</v>
      </c>
      <c r="H96" s="15">
        <v>8500000</v>
      </c>
      <c r="I96" s="15">
        <v>0</v>
      </c>
      <c r="J96" s="15">
        <f t="shared" si="41"/>
        <v>8500000</v>
      </c>
      <c r="K96" s="15">
        <v>0</v>
      </c>
      <c r="L96" s="15">
        <v>0</v>
      </c>
      <c r="M96" s="15">
        <v>0</v>
      </c>
      <c r="N96" s="15">
        <v>0</v>
      </c>
      <c r="O96" s="15">
        <f t="shared" si="32"/>
        <v>0</v>
      </c>
      <c r="P96" s="15">
        <v>0</v>
      </c>
      <c r="Q96" s="15">
        <v>0</v>
      </c>
      <c r="R96" s="331"/>
      <c r="S96" s="436"/>
      <c r="T96" s="436">
        <f t="shared" si="33"/>
        <v>0</v>
      </c>
      <c r="U96" s="15">
        <f t="shared" si="42"/>
        <v>0</v>
      </c>
      <c r="V96" s="6">
        <f t="shared" si="38"/>
        <v>0</v>
      </c>
    </row>
    <row r="97" spans="1:22" s="59" customFormat="1" ht="20.25">
      <c r="A97" s="58"/>
      <c r="B97" s="1"/>
      <c r="C97" s="1"/>
      <c r="D97" s="2" t="s">
        <v>132</v>
      </c>
      <c r="E97" s="2" t="s">
        <v>99</v>
      </c>
      <c r="F97" s="2" t="s">
        <v>21</v>
      </c>
      <c r="G97" s="26" t="s">
        <v>279</v>
      </c>
      <c r="H97" s="15">
        <v>550000</v>
      </c>
      <c r="I97" s="15">
        <v>0</v>
      </c>
      <c r="J97" s="15">
        <f t="shared" si="41"/>
        <v>550000</v>
      </c>
      <c r="K97" s="15">
        <v>0</v>
      </c>
      <c r="L97" s="15">
        <v>0</v>
      </c>
      <c r="M97" s="15">
        <v>0</v>
      </c>
      <c r="N97" s="15">
        <v>0</v>
      </c>
      <c r="O97" s="15">
        <f t="shared" si="32"/>
        <v>0</v>
      </c>
      <c r="P97" s="15">
        <v>0</v>
      </c>
      <c r="Q97" s="15">
        <v>0</v>
      </c>
      <c r="R97" s="331"/>
      <c r="S97" s="436"/>
      <c r="T97" s="436">
        <f t="shared" si="33"/>
        <v>0</v>
      </c>
      <c r="U97" s="15">
        <f t="shared" si="42"/>
        <v>0</v>
      </c>
      <c r="V97" s="6">
        <f t="shared" si="38"/>
        <v>0</v>
      </c>
    </row>
    <row r="98" spans="1:22" s="59" customFormat="1" ht="13.5">
      <c r="A98" s="58"/>
      <c r="B98" s="1"/>
      <c r="C98" s="1"/>
      <c r="D98" s="2" t="s">
        <v>132</v>
      </c>
      <c r="E98" s="2" t="s">
        <v>103</v>
      </c>
      <c r="F98" s="2" t="s">
        <v>21</v>
      </c>
      <c r="G98" s="26" t="s">
        <v>284</v>
      </c>
      <c r="H98" s="15">
        <v>8500000</v>
      </c>
      <c r="I98" s="15">
        <v>0</v>
      </c>
      <c r="J98" s="15">
        <f t="shared" si="41"/>
        <v>8500000</v>
      </c>
      <c r="K98" s="15">
        <v>0</v>
      </c>
      <c r="L98" s="15">
        <v>0</v>
      </c>
      <c r="M98" s="15">
        <v>0</v>
      </c>
      <c r="N98" s="15">
        <v>0</v>
      </c>
      <c r="O98" s="15">
        <f t="shared" si="32"/>
        <v>0</v>
      </c>
      <c r="P98" s="15">
        <v>0</v>
      </c>
      <c r="Q98" s="15">
        <v>0</v>
      </c>
      <c r="R98" s="331"/>
      <c r="S98" s="436"/>
      <c r="T98" s="436">
        <f t="shared" si="33"/>
        <v>0</v>
      </c>
      <c r="U98" s="15">
        <f t="shared" si="42"/>
        <v>0</v>
      </c>
      <c r="V98" s="6">
        <f t="shared" si="38"/>
        <v>0</v>
      </c>
    </row>
    <row r="99" spans="1:22" s="59" customFormat="1" ht="13.5">
      <c r="A99" s="58"/>
      <c r="B99" s="1"/>
      <c r="C99" s="1"/>
      <c r="D99" s="2" t="s">
        <v>132</v>
      </c>
      <c r="E99" s="2" t="s">
        <v>273</v>
      </c>
      <c r="F99" s="2" t="s">
        <v>21</v>
      </c>
      <c r="G99" s="26" t="s">
        <v>164</v>
      </c>
      <c r="H99" s="15">
        <v>550000</v>
      </c>
      <c r="I99" s="15">
        <v>0</v>
      </c>
      <c r="J99" s="15">
        <f t="shared" si="41"/>
        <v>550000</v>
      </c>
      <c r="K99" s="15">
        <v>0</v>
      </c>
      <c r="L99" s="15">
        <v>0</v>
      </c>
      <c r="M99" s="15">
        <v>0</v>
      </c>
      <c r="N99" s="15">
        <v>0</v>
      </c>
      <c r="O99" s="15">
        <f t="shared" si="32"/>
        <v>0</v>
      </c>
      <c r="P99" s="15">
        <v>0</v>
      </c>
      <c r="Q99" s="15">
        <v>0</v>
      </c>
      <c r="R99" s="331"/>
      <c r="S99" s="436"/>
      <c r="T99" s="436">
        <f t="shared" si="33"/>
        <v>0</v>
      </c>
      <c r="U99" s="15">
        <f t="shared" si="42"/>
        <v>0</v>
      </c>
      <c r="V99" s="6">
        <f t="shared" si="38"/>
        <v>0</v>
      </c>
    </row>
    <row r="100" spans="1:22" s="59" customFormat="1" ht="13.5">
      <c r="A100" s="58"/>
      <c r="B100" s="1"/>
      <c r="C100" s="1"/>
      <c r="D100" s="2" t="s">
        <v>132</v>
      </c>
      <c r="E100" s="2" t="s">
        <v>114</v>
      </c>
      <c r="F100" s="2" t="s">
        <v>21</v>
      </c>
      <c r="G100" s="26" t="s">
        <v>285</v>
      </c>
      <c r="H100" s="15">
        <v>550000</v>
      </c>
      <c r="I100" s="15">
        <v>0</v>
      </c>
      <c r="J100" s="15">
        <f t="shared" si="41"/>
        <v>550000</v>
      </c>
      <c r="K100" s="15">
        <v>0</v>
      </c>
      <c r="L100" s="15">
        <v>0</v>
      </c>
      <c r="M100" s="15">
        <v>0</v>
      </c>
      <c r="N100" s="15">
        <v>0</v>
      </c>
      <c r="O100" s="15">
        <f t="shared" si="32"/>
        <v>0</v>
      </c>
      <c r="P100" s="15">
        <v>0</v>
      </c>
      <c r="Q100" s="15">
        <v>0</v>
      </c>
      <c r="R100" s="331"/>
      <c r="S100" s="436"/>
      <c r="T100" s="436">
        <f t="shared" si="33"/>
        <v>0</v>
      </c>
      <c r="U100" s="15">
        <f t="shared" si="42"/>
        <v>0</v>
      </c>
      <c r="V100" s="6">
        <f t="shared" si="38"/>
        <v>0</v>
      </c>
    </row>
    <row r="101" spans="1:22" s="59" customFormat="1" ht="13.5">
      <c r="A101" s="58"/>
      <c r="B101" s="1"/>
      <c r="C101" s="1"/>
      <c r="D101" s="2" t="s">
        <v>132</v>
      </c>
      <c r="E101" s="2" t="s">
        <v>115</v>
      </c>
      <c r="F101" s="2" t="s">
        <v>21</v>
      </c>
      <c r="G101" s="26" t="s">
        <v>283</v>
      </c>
      <c r="H101" s="15">
        <v>550000</v>
      </c>
      <c r="I101" s="15">
        <v>0</v>
      </c>
      <c r="J101" s="15">
        <f t="shared" si="41"/>
        <v>550000</v>
      </c>
      <c r="K101" s="15">
        <v>0</v>
      </c>
      <c r="L101" s="15">
        <v>0</v>
      </c>
      <c r="M101" s="15">
        <v>0</v>
      </c>
      <c r="N101" s="15">
        <v>0</v>
      </c>
      <c r="O101" s="15">
        <f t="shared" si="32"/>
        <v>0</v>
      </c>
      <c r="P101" s="15">
        <v>0</v>
      </c>
      <c r="Q101" s="15">
        <v>0</v>
      </c>
      <c r="R101" s="331"/>
      <c r="S101" s="436"/>
      <c r="T101" s="436">
        <f t="shared" si="33"/>
        <v>0</v>
      </c>
      <c r="U101" s="15">
        <f t="shared" si="42"/>
        <v>0</v>
      </c>
      <c r="V101" s="6">
        <f t="shared" si="38"/>
        <v>0</v>
      </c>
    </row>
    <row r="102" spans="1:22" s="59" customFormat="1" ht="13.5">
      <c r="A102" s="58"/>
      <c r="B102" s="1"/>
      <c r="C102" s="1"/>
      <c r="D102" s="2" t="s">
        <v>132</v>
      </c>
      <c r="E102" s="2" t="s">
        <v>116</v>
      </c>
      <c r="F102" s="2" t="s">
        <v>21</v>
      </c>
      <c r="G102" s="26" t="s">
        <v>503</v>
      </c>
      <c r="H102" s="15">
        <v>550000</v>
      </c>
      <c r="I102" s="15">
        <v>0</v>
      </c>
      <c r="J102" s="15">
        <f t="shared" si="41"/>
        <v>550000</v>
      </c>
      <c r="K102" s="15">
        <v>0</v>
      </c>
      <c r="L102" s="15">
        <v>0</v>
      </c>
      <c r="M102" s="15">
        <v>0</v>
      </c>
      <c r="N102" s="15">
        <v>0</v>
      </c>
      <c r="O102" s="15">
        <f t="shared" si="32"/>
        <v>0</v>
      </c>
      <c r="P102" s="15">
        <v>0</v>
      </c>
      <c r="Q102" s="15">
        <v>0</v>
      </c>
      <c r="R102" s="331"/>
      <c r="S102" s="436"/>
      <c r="T102" s="436">
        <f t="shared" si="33"/>
        <v>0</v>
      </c>
      <c r="U102" s="15">
        <f t="shared" si="42"/>
        <v>0</v>
      </c>
      <c r="V102" s="6">
        <f t="shared" si="38"/>
        <v>0</v>
      </c>
    </row>
    <row r="103" spans="1:22" s="59" customFormat="1" ht="13.5">
      <c r="A103" s="58"/>
      <c r="B103" s="1"/>
      <c r="C103" s="1"/>
      <c r="D103" s="2" t="s">
        <v>132</v>
      </c>
      <c r="E103" s="2" t="s">
        <v>117</v>
      </c>
      <c r="F103" s="2" t="s">
        <v>21</v>
      </c>
      <c r="G103" s="26" t="s">
        <v>504</v>
      </c>
      <c r="H103" s="15">
        <v>2200000</v>
      </c>
      <c r="I103" s="15">
        <v>0</v>
      </c>
      <c r="J103" s="15">
        <f t="shared" si="41"/>
        <v>2200000</v>
      </c>
      <c r="K103" s="15">
        <v>0</v>
      </c>
      <c r="L103" s="15">
        <v>0</v>
      </c>
      <c r="M103" s="15">
        <v>0</v>
      </c>
      <c r="N103" s="15">
        <v>0</v>
      </c>
      <c r="O103" s="15">
        <f t="shared" si="32"/>
        <v>0</v>
      </c>
      <c r="P103" s="15">
        <v>0</v>
      </c>
      <c r="Q103" s="15">
        <v>0</v>
      </c>
      <c r="R103" s="331"/>
      <c r="S103" s="436"/>
      <c r="T103" s="436">
        <f t="shared" si="33"/>
        <v>0</v>
      </c>
      <c r="U103" s="15">
        <f t="shared" si="42"/>
        <v>0</v>
      </c>
      <c r="V103" s="6">
        <f t="shared" si="38"/>
        <v>0</v>
      </c>
    </row>
    <row r="104" spans="1:22" s="59" customFormat="1" ht="13.5" hidden="1">
      <c r="A104" s="58"/>
      <c r="B104" s="1"/>
      <c r="C104" s="1"/>
      <c r="D104" s="2" t="s">
        <v>132</v>
      </c>
      <c r="E104" s="2" t="s">
        <v>195</v>
      </c>
      <c r="F104" s="2" t="s">
        <v>21</v>
      </c>
      <c r="G104" s="26" t="s">
        <v>311</v>
      </c>
      <c r="H104" s="15">
        <v>0</v>
      </c>
      <c r="I104" s="15">
        <v>0</v>
      </c>
      <c r="J104" s="15">
        <f t="shared" si="41"/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f t="shared" si="32"/>
        <v>0</v>
      </c>
      <c r="P104" s="15">
        <v>0</v>
      </c>
      <c r="Q104" s="15">
        <v>0</v>
      </c>
      <c r="R104" s="331"/>
      <c r="S104" s="436"/>
      <c r="T104" s="436">
        <f t="shared" si="33"/>
        <v>0</v>
      </c>
      <c r="U104" s="15">
        <f t="shared" si="42"/>
        <v>0</v>
      </c>
      <c r="V104" s="6" t="e">
        <f t="shared" si="38"/>
        <v>#DIV/0!</v>
      </c>
    </row>
    <row r="105" spans="1:22" s="59" customFormat="1" ht="13.5" hidden="1">
      <c r="A105" s="58"/>
      <c r="B105" s="1"/>
      <c r="C105" s="1"/>
      <c r="D105" s="2" t="s">
        <v>132</v>
      </c>
      <c r="E105" s="2" t="s">
        <v>236</v>
      </c>
      <c r="F105" s="2" t="s">
        <v>236</v>
      </c>
      <c r="G105" s="26" t="s">
        <v>311</v>
      </c>
      <c r="H105" s="15">
        <v>0</v>
      </c>
      <c r="I105" s="15">
        <v>0</v>
      </c>
      <c r="J105" s="15">
        <f t="shared" si="41"/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f t="shared" si="32"/>
        <v>0</v>
      </c>
      <c r="P105" s="15">
        <v>0</v>
      </c>
      <c r="Q105" s="15">
        <v>0</v>
      </c>
      <c r="R105" s="331"/>
      <c r="S105" s="436"/>
      <c r="T105" s="436">
        <f t="shared" si="33"/>
        <v>0</v>
      </c>
      <c r="U105" s="15">
        <f t="shared" si="42"/>
        <v>0</v>
      </c>
      <c r="V105" s="6" t="e">
        <f t="shared" si="38"/>
        <v>#DIV/0!</v>
      </c>
    </row>
    <row r="106" spans="1:22" s="59" customFormat="1" ht="13.5" hidden="1">
      <c r="A106" s="58"/>
      <c r="B106" s="1"/>
      <c r="C106" s="1"/>
      <c r="D106" s="2" t="s">
        <v>132</v>
      </c>
      <c r="E106" s="2" t="s">
        <v>236</v>
      </c>
      <c r="F106" s="2" t="s">
        <v>236</v>
      </c>
      <c r="G106" s="26" t="s">
        <v>311</v>
      </c>
      <c r="H106" s="15">
        <v>0</v>
      </c>
      <c r="I106" s="15">
        <v>0</v>
      </c>
      <c r="J106" s="15">
        <f t="shared" si="41"/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f t="shared" si="32"/>
        <v>0</v>
      </c>
      <c r="P106" s="15">
        <v>0</v>
      </c>
      <c r="Q106" s="15">
        <v>0</v>
      </c>
      <c r="R106" s="331"/>
      <c r="S106" s="436"/>
      <c r="T106" s="436">
        <f t="shared" si="33"/>
        <v>0</v>
      </c>
      <c r="U106" s="15">
        <f t="shared" si="42"/>
        <v>0</v>
      </c>
      <c r="V106" s="6" t="e">
        <f t="shared" si="38"/>
        <v>#DIV/0!</v>
      </c>
    </row>
    <row r="107" spans="1:22" s="59" customFormat="1" ht="13.5" hidden="1">
      <c r="A107" s="58"/>
      <c r="B107" s="1"/>
      <c r="C107" s="1"/>
      <c r="D107" s="2" t="s">
        <v>132</v>
      </c>
      <c r="E107" s="2" t="s">
        <v>236</v>
      </c>
      <c r="F107" s="2" t="s">
        <v>236</v>
      </c>
      <c r="G107" s="26" t="s">
        <v>311</v>
      </c>
      <c r="H107" s="15">
        <v>0</v>
      </c>
      <c r="I107" s="15">
        <v>0</v>
      </c>
      <c r="J107" s="15">
        <f t="shared" si="41"/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f t="shared" si="32"/>
        <v>0</v>
      </c>
      <c r="P107" s="15">
        <v>0</v>
      </c>
      <c r="Q107" s="15">
        <v>0</v>
      </c>
      <c r="R107" s="331"/>
      <c r="S107" s="436"/>
      <c r="T107" s="436">
        <f t="shared" si="33"/>
        <v>0</v>
      </c>
      <c r="U107" s="15">
        <f t="shared" si="42"/>
        <v>0</v>
      </c>
      <c r="V107" s="6" t="e">
        <f t="shared" si="38"/>
        <v>#DIV/0!</v>
      </c>
    </row>
    <row r="108" spans="1:22" s="60" customFormat="1" ht="13.5" hidden="1">
      <c r="A108" s="58"/>
      <c r="B108" s="16"/>
      <c r="C108" s="16"/>
      <c r="D108" s="17"/>
      <c r="E108" s="17"/>
      <c r="F108" s="17"/>
      <c r="G108" s="68"/>
      <c r="H108" s="15"/>
      <c r="I108" s="15"/>
      <c r="J108" s="15"/>
      <c r="K108" s="19"/>
      <c r="L108" s="19"/>
      <c r="M108" s="19"/>
      <c r="N108" s="19"/>
      <c r="O108" s="19">
        <f t="shared" si="32"/>
        <v>0</v>
      </c>
      <c r="P108" s="19"/>
      <c r="Q108" s="19"/>
      <c r="R108" s="333"/>
      <c r="S108" s="437"/>
      <c r="T108" s="437">
        <f t="shared" si="33"/>
        <v>0</v>
      </c>
      <c r="U108" s="19"/>
      <c r="V108" s="22"/>
    </row>
    <row r="109" spans="1:22" s="59" customFormat="1" ht="13.5" hidden="1">
      <c r="A109" s="58"/>
      <c r="B109" s="1"/>
      <c r="C109" s="1" t="s">
        <v>163</v>
      </c>
      <c r="D109" s="1"/>
      <c r="E109" s="1"/>
      <c r="F109" s="1"/>
      <c r="G109" s="29" t="s">
        <v>133</v>
      </c>
      <c r="H109" s="4">
        <f>H110+H113</f>
        <v>0</v>
      </c>
      <c r="I109" s="4">
        <f aca="true" t="shared" si="43" ref="I109:P109">I110+I113</f>
        <v>0</v>
      </c>
      <c r="J109" s="4">
        <f t="shared" si="43"/>
        <v>0</v>
      </c>
      <c r="K109" s="4">
        <f t="shared" si="43"/>
        <v>0</v>
      </c>
      <c r="L109" s="4">
        <f t="shared" si="43"/>
        <v>0</v>
      </c>
      <c r="M109" s="4">
        <f t="shared" si="43"/>
        <v>0</v>
      </c>
      <c r="N109" s="4">
        <f t="shared" si="43"/>
        <v>0</v>
      </c>
      <c r="O109" s="4">
        <f t="shared" si="32"/>
        <v>0</v>
      </c>
      <c r="P109" s="4">
        <f t="shared" si="43"/>
        <v>0</v>
      </c>
      <c r="Q109" s="4">
        <f>Q110+Q113</f>
        <v>0</v>
      </c>
      <c r="R109" s="332"/>
      <c r="S109" s="436"/>
      <c r="T109" s="436">
        <f t="shared" si="33"/>
        <v>0</v>
      </c>
      <c r="U109" s="4">
        <f>U110+U113</f>
        <v>0</v>
      </c>
      <c r="V109" s="6" t="e">
        <f>U109*100/J109</f>
        <v>#DIV/0!</v>
      </c>
    </row>
    <row r="110" spans="1:22" s="59" customFormat="1" ht="13.5" hidden="1">
      <c r="A110" s="58"/>
      <c r="B110" s="1"/>
      <c r="C110" s="1"/>
      <c r="D110" s="1" t="s">
        <v>134</v>
      </c>
      <c r="E110" s="1"/>
      <c r="F110" s="1"/>
      <c r="G110" s="29" t="s">
        <v>177</v>
      </c>
      <c r="H110" s="4">
        <f aca="true" t="shared" si="44" ref="H110:U110">H111</f>
        <v>0</v>
      </c>
      <c r="I110" s="4">
        <f t="shared" si="44"/>
        <v>0</v>
      </c>
      <c r="J110" s="4">
        <f t="shared" si="44"/>
        <v>0</v>
      </c>
      <c r="K110" s="4">
        <f t="shared" si="44"/>
        <v>0</v>
      </c>
      <c r="L110" s="4">
        <f t="shared" si="44"/>
        <v>0</v>
      </c>
      <c r="M110" s="4">
        <f t="shared" si="44"/>
        <v>0</v>
      </c>
      <c r="N110" s="4">
        <f t="shared" si="44"/>
        <v>0</v>
      </c>
      <c r="O110" s="4">
        <f t="shared" si="32"/>
        <v>0</v>
      </c>
      <c r="P110" s="4">
        <f t="shared" si="44"/>
        <v>0</v>
      </c>
      <c r="Q110" s="4">
        <f>Q111</f>
        <v>0</v>
      </c>
      <c r="R110" s="332"/>
      <c r="S110" s="436"/>
      <c r="T110" s="436">
        <f t="shared" si="33"/>
        <v>0</v>
      </c>
      <c r="U110" s="4">
        <f t="shared" si="44"/>
        <v>0</v>
      </c>
      <c r="V110" s="6" t="e">
        <f>U110*100/J110</f>
        <v>#DIV/0!</v>
      </c>
    </row>
    <row r="111" spans="1:22" s="59" customFormat="1" ht="13.5" hidden="1">
      <c r="A111" s="58"/>
      <c r="B111" s="2"/>
      <c r="C111" s="2"/>
      <c r="D111" s="2" t="s">
        <v>134</v>
      </c>
      <c r="E111" s="2" t="s">
        <v>63</v>
      </c>
      <c r="F111" s="2" t="s">
        <v>21</v>
      </c>
      <c r="G111" s="26" t="s">
        <v>135</v>
      </c>
      <c r="H111" s="15">
        <v>0</v>
      </c>
      <c r="I111" s="15">
        <v>0</v>
      </c>
      <c r="J111" s="15">
        <f>H111+I111</f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f t="shared" si="32"/>
        <v>0</v>
      </c>
      <c r="P111" s="15">
        <v>0</v>
      </c>
      <c r="Q111" s="15">
        <v>0</v>
      </c>
      <c r="R111" s="331"/>
      <c r="S111" s="436"/>
      <c r="T111" s="436">
        <f t="shared" si="33"/>
        <v>0</v>
      </c>
      <c r="U111" s="15">
        <f>T111</f>
        <v>0</v>
      </c>
      <c r="V111" s="6" t="e">
        <f>U111*100/J111</f>
        <v>#DIV/0!</v>
      </c>
    </row>
    <row r="112" spans="1:22" s="59" customFormat="1" ht="13.5" hidden="1">
      <c r="A112" s="58"/>
      <c r="B112" s="2"/>
      <c r="C112" s="2"/>
      <c r="D112" s="2"/>
      <c r="E112" s="2"/>
      <c r="F112" s="2"/>
      <c r="G112" s="26"/>
      <c r="H112" s="15"/>
      <c r="I112" s="15"/>
      <c r="J112" s="15"/>
      <c r="K112" s="15"/>
      <c r="L112" s="15"/>
      <c r="M112" s="15"/>
      <c r="N112" s="15"/>
      <c r="O112" s="15">
        <f t="shared" si="32"/>
        <v>0</v>
      </c>
      <c r="P112" s="15"/>
      <c r="Q112" s="15"/>
      <c r="R112" s="331"/>
      <c r="S112" s="436"/>
      <c r="T112" s="436">
        <f t="shared" si="33"/>
        <v>0</v>
      </c>
      <c r="U112" s="15"/>
      <c r="V112" s="6"/>
    </row>
    <row r="113" spans="1:22" s="59" customFormat="1" ht="13.5" hidden="1">
      <c r="A113" s="58"/>
      <c r="B113" s="1"/>
      <c r="C113" s="1"/>
      <c r="D113" s="1" t="s">
        <v>3</v>
      </c>
      <c r="E113" s="1"/>
      <c r="F113" s="1"/>
      <c r="G113" s="29" t="s">
        <v>4</v>
      </c>
      <c r="H113" s="4">
        <f aca="true" t="shared" si="45" ref="H113:U113">H114</f>
        <v>0</v>
      </c>
      <c r="I113" s="4">
        <f t="shared" si="45"/>
        <v>0</v>
      </c>
      <c r="J113" s="4">
        <f t="shared" si="45"/>
        <v>0</v>
      </c>
      <c r="K113" s="4">
        <f t="shared" si="45"/>
        <v>0</v>
      </c>
      <c r="L113" s="4">
        <f t="shared" si="45"/>
        <v>0</v>
      </c>
      <c r="M113" s="4">
        <f t="shared" si="45"/>
        <v>0</v>
      </c>
      <c r="N113" s="4">
        <f t="shared" si="45"/>
        <v>0</v>
      </c>
      <c r="O113" s="4">
        <f t="shared" si="32"/>
        <v>0</v>
      </c>
      <c r="P113" s="4">
        <f t="shared" si="45"/>
        <v>0</v>
      </c>
      <c r="Q113" s="4">
        <f>Q114</f>
        <v>0</v>
      </c>
      <c r="R113" s="332"/>
      <c r="S113" s="436"/>
      <c r="T113" s="436">
        <f t="shared" si="33"/>
        <v>0</v>
      </c>
      <c r="U113" s="4">
        <f t="shared" si="45"/>
        <v>0</v>
      </c>
      <c r="V113" s="6" t="e">
        <f>U113*100/J113</f>
        <v>#DIV/0!</v>
      </c>
    </row>
    <row r="114" spans="1:22" s="59" customFormat="1" ht="13.5" hidden="1">
      <c r="A114" s="58"/>
      <c r="B114" s="2"/>
      <c r="C114" s="2"/>
      <c r="D114" s="2" t="s">
        <v>3</v>
      </c>
      <c r="E114" s="2" t="s">
        <v>63</v>
      </c>
      <c r="F114" s="2" t="s">
        <v>21</v>
      </c>
      <c r="G114" s="26" t="s">
        <v>203</v>
      </c>
      <c r="H114" s="15">
        <v>0</v>
      </c>
      <c r="I114" s="15">
        <v>0</v>
      </c>
      <c r="J114" s="15">
        <f>H114+I114</f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f t="shared" si="32"/>
        <v>0</v>
      </c>
      <c r="P114" s="15">
        <v>0</v>
      </c>
      <c r="Q114" s="15">
        <v>0</v>
      </c>
      <c r="R114" s="331"/>
      <c r="S114" s="436"/>
      <c r="T114" s="436">
        <f t="shared" si="33"/>
        <v>0</v>
      </c>
      <c r="U114" s="15">
        <f>T114</f>
        <v>0</v>
      </c>
      <c r="V114" s="6" t="e">
        <f>U114*100/J114</f>
        <v>#DIV/0!</v>
      </c>
    </row>
    <row r="115" spans="2:22" s="59" customFormat="1" ht="8.25" customHeight="1">
      <c r="B115" s="2"/>
      <c r="C115" s="2"/>
      <c r="D115" s="2"/>
      <c r="E115" s="2"/>
      <c r="F115" s="2"/>
      <c r="G115" s="26"/>
      <c r="H115" s="15"/>
      <c r="I115" s="15"/>
      <c r="J115" s="15"/>
      <c r="K115" s="15"/>
      <c r="L115" s="15"/>
      <c r="M115" s="15"/>
      <c r="N115" s="15"/>
      <c r="O115" s="15">
        <f t="shared" si="32"/>
        <v>0</v>
      </c>
      <c r="P115" s="15"/>
      <c r="Q115" s="15"/>
      <c r="R115" s="331"/>
      <c r="S115" s="436"/>
      <c r="T115" s="436">
        <f t="shared" si="33"/>
        <v>0</v>
      </c>
      <c r="U115" s="15"/>
      <c r="V115" s="6"/>
    </row>
    <row r="116" spans="1:22" s="59" customFormat="1" ht="13.5">
      <c r="A116" s="58"/>
      <c r="B116" s="1"/>
      <c r="C116" s="1" t="s">
        <v>5</v>
      </c>
      <c r="D116" s="1"/>
      <c r="E116" s="1"/>
      <c r="F116" s="1"/>
      <c r="G116" s="29" t="s">
        <v>6</v>
      </c>
      <c r="H116" s="4">
        <f>H117</f>
        <v>12100000</v>
      </c>
      <c r="I116" s="4">
        <f aca="true" t="shared" si="46" ref="I116:U116">I117</f>
        <v>0</v>
      </c>
      <c r="J116" s="4">
        <f t="shared" si="46"/>
        <v>12100000</v>
      </c>
      <c r="K116" s="4">
        <f t="shared" si="46"/>
        <v>0</v>
      </c>
      <c r="L116" s="4">
        <f t="shared" si="46"/>
        <v>0</v>
      </c>
      <c r="M116" s="4">
        <f t="shared" si="46"/>
        <v>0</v>
      </c>
      <c r="N116" s="4">
        <f t="shared" si="46"/>
        <v>0</v>
      </c>
      <c r="O116" s="4">
        <f t="shared" si="32"/>
        <v>0</v>
      </c>
      <c r="P116" s="4">
        <f t="shared" si="46"/>
        <v>0</v>
      </c>
      <c r="Q116" s="4">
        <f>Q117</f>
        <v>0</v>
      </c>
      <c r="R116" s="332"/>
      <c r="S116" s="436"/>
      <c r="T116" s="436">
        <f t="shared" si="33"/>
        <v>0</v>
      </c>
      <c r="U116" s="4">
        <f t="shared" si="46"/>
        <v>0</v>
      </c>
      <c r="V116" s="6">
        <f>U116*100/J116</f>
        <v>0</v>
      </c>
    </row>
    <row r="117" spans="1:22" s="59" customFormat="1" ht="13.5">
      <c r="A117" s="58"/>
      <c r="B117" s="1"/>
      <c r="C117" s="1"/>
      <c r="D117" s="1" t="s">
        <v>7</v>
      </c>
      <c r="E117" s="1"/>
      <c r="F117" s="1"/>
      <c r="G117" s="29" t="s">
        <v>8</v>
      </c>
      <c r="H117" s="4">
        <f>SUM(H118:H119)</f>
        <v>12100000</v>
      </c>
      <c r="I117" s="4">
        <f aca="true" t="shared" si="47" ref="I117:P117">SUM(I118:I119)</f>
        <v>0</v>
      </c>
      <c r="J117" s="4">
        <f t="shared" si="47"/>
        <v>12100000</v>
      </c>
      <c r="K117" s="4">
        <f t="shared" si="47"/>
        <v>0</v>
      </c>
      <c r="L117" s="4">
        <f t="shared" si="47"/>
        <v>0</v>
      </c>
      <c r="M117" s="4">
        <f t="shared" si="47"/>
        <v>0</v>
      </c>
      <c r="N117" s="4">
        <f t="shared" si="47"/>
        <v>0</v>
      </c>
      <c r="O117" s="4">
        <f t="shared" si="32"/>
        <v>0</v>
      </c>
      <c r="P117" s="4">
        <f t="shared" si="47"/>
        <v>0</v>
      </c>
      <c r="Q117" s="4">
        <f>SUM(Q118:Q119)</f>
        <v>0</v>
      </c>
      <c r="R117" s="332"/>
      <c r="S117" s="436"/>
      <c r="T117" s="436">
        <f t="shared" si="33"/>
        <v>0</v>
      </c>
      <c r="U117" s="4">
        <f>SUM(U118:U119)</f>
        <v>0</v>
      </c>
      <c r="V117" s="6">
        <f>U117*100/J117</f>
        <v>0</v>
      </c>
    </row>
    <row r="118" spans="1:22" s="59" customFormat="1" ht="13.5">
      <c r="A118" s="58"/>
      <c r="B118" s="2"/>
      <c r="C118" s="2"/>
      <c r="D118" s="2" t="s">
        <v>7</v>
      </c>
      <c r="E118" s="2" t="s">
        <v>21</v>
      </c>
      <c r="F118" s="2" t="s">
        <v>204</v>
      </c>
      <c r="G118" s="26" t="s">
        <v>9</v>
      </c>
      <c r="H118" s="15">
        <v>11000000</v>
      </c>
      <c r="I118" s="15">
        <v>0</v>
      </c>
      <c r="J118" s="15">
        <f>H118+I118</f>
        <v>11000000</v>
      </c>
      <c r="K118" s="15">
        <v>0</v>
      </c>
      <c r="L118" s="15">
        <v>0</v>
      </c>
      <c r="M118" s="15">
        <v>0</v>
      </c>
      <c r="N118" s="15">
        <v>0</v>
      </c>
      <c r="O118" s="15">
        <f t="shared" si="32"/>
        <v>0</v>
      </c>
      <c r="P118" s="15">
        <v>0</v>
      </c>
      <c r="Q118" s="15">
        <v>0</v>
      </c>
      <c r="R118" s="331"/>
      <c r="S118" s="436"/>
      <c r="T118" s="436">
        <f t="shared" si="33"/>
        <v>0</v>
      </c>
      <c r="U118" s="15">
        <f>T118</f>
        <v>0</v>
      </c>
      <c r="V118" s="6">
        <f>U118*100/J118</f>
        <v>0</v>
      </c>
    </row>
    <row r="119" spans="1:22" s="59" customFormat="1" ht="13.5">
      <c r="A119" s="58"/>
      <c r="B119" s="2"/>
      <c r="C119" s="2"/>
      <c r="D119" s="2" t="s">
        <v>7</v>
      </c>
      <c r="E119" s="2" t="s">
        <v>21</v>
      </c>
      <c r="F119" s="2" t="s">
        <v>21</v>
      </c>
      <c r="G119" s="26" t="s">
        <v>320</v>
      </c>
      <c r="H119" s="15">
        <v>1100000</v>
      </c>
      <c r="I119" s="15">
        <v>0</v>
      </c>
      <c r="J119" s="15">
        <f>H119+I119</f>
        <v>1100000</v>
      </c>
      <c r="K119" s="15">
        <v>0</v>
      </c>
      <c r="L119" s="15">
        <v>0</v>
      </c>
      <c r="M119" s="15">
        <v>0</v>
      </c>
      <c r="N119" s="15">
        <v>0</v>
      </c>
      <c r="O119" s="15">
        <f t="shared" si="32"/>
        <v>0</v>
      </c>
      <c r="P119" s="15">
        <v>0</v>
      </c>
      <c r="Q119" s="15">
        <v>0</v>
      </c>
      <c r="R119" s="331"/>
      <c r="S119" s="436"/>
      <c r="T119" s="436">
        <f t="shared" si="33"/>
        <v>0</v>
      </c>
      <c r="U119" s="15">
        <f>T119</f>
        <v>0</v>
      </c>
      <c r="V119" s="6">
        <f>U119*100/J119</f>
        <v>0</v>
      </c>
    </row>
    <row r="120" spans="2:22" s="59" customFormat="1" ht="8.25" customHeight="1">
      <c r="B120" s="2"/>
      <c r="C120" s="2"/>
      <c r="D120" s="2"/>
      <c r="E120" s="2"/>
      <c r="F120" s="2"/>
      <c r="G120" s="26"/>
      <c r="H120" s="15"/>
      <c r="I120" s="15"/>
      <c r="J120" s="15"/>
      <c r="K120" s="15"/>
      <c r="L120" s="15"/>
      <c r="M120" s="15"/>
      <c r="N120" s="15"/>
      <c r="O120" s="15">
        <f t="shared" si="32"/>
        <v>0</v>
      </c>
      <c r="P120" s="15"/>
      <c r="Q120" s="15"/>
      <c r="R120" s="331"/>
      <c r="S120" s="436"/>
      <c r="T120" s="436">
        <f t="shared" si="33"/>
        <v>0</v>
      </c>
      <c r="U120" s="15"/>
      <c r="V120" s="6"/>
    </row>
    <row r="121" spans="1:22" ht="17.25">
      <c r="A121" s="33"/>
      <c r="B121" s="9">
        <v>200</v>
      </c>
      <c r="C121" s="9"/>
      <c r="D121" s="9"/>
      <c r="E121" s="9"/>
      <c r="F121" s="9"/>
      <c r="G121" s="275" t="s">
        <v>136</v>
      </c>
      <c r="H121" s="4">
        <f aca="true" t="shared" si="48" ref="H121:S121">H122+H127+H136</f>
        <v>1558558120</v>
      </c>
      <c r="I121" s="4">
        <f t="shared" si="48"/>
        <v>31698101</v>
      </c>
      <c r="J121" s="4">
        <f t="shared" si="48"/>
        <v>1590256221</v>
      </c>
      <c r="K121" s="4">
        <f t="shared" si="48"/>
        <v>264666532</v>
      </c>
      <c r="L121" s="4">
        <f t="shared" si="48"/>
        <v>0</v>
      </c>
      <c r="M121" s="4">
        <f t="shared" si="48"/>
        <v>407540647</v>
      </c>
      <c r="N121" s="4">
        <f t="shared" si="48"/>
        <v>0</v>
      </c>
      <c r="O121" s="4">
        <f t="shared" si="32"/>
        <v>672207179</v>
      </c>
      <c r="P121" s="4">
        <f t="shared" si="48"/>
        <v>0</v>
      </c>
      <c r="Q121" s="4">
        <f t="shared" si="48"/>
        <v>0</v>
      </c>
      <c r="R121" s="4">
        <f t="shared" si="48"/>
        <v>533777375</v>
      </c>
      <c r="S121" s="4">
        <f t="shared" si="48"/>
        <v>91067173</v>
      </c>
      <c r="T121" s="4">
        <f t="shared" si="33"/>
        <v>1297051727</v>
      </c>
      <c r="U121" s="4">
        <f>U122+U127+U136</f>
        <v>1297051727</v>
      </c>
      <c r="V121" s="6">
        <f>U121*100/J121</f>
        <v>81.56243691248544</v>
      </c>
    </row>
    <row r="122" spans="1:22" s="59" customFormat="1" ht="13.5">
      <c r="A122" s="58"/>
      <c r="B122" s="1"/>
      <c r="C122" s="1">
        <v>210</v>
      </c>
      <c r="D122" s="1"/>
      <c r="E122" s="1"/>
      <c r="F122" s="1"/>
      <c r="G122" s="29" t="s">
        <v>137</v>
      </c>
      <c r="H122" s="4">
        <f aca="true" t="shared" si="49" ref="H122:U122">H123</f>
        <v>4400000</v>
      </c>
      <c r="I122" s="4">
        <f t="shared" si="49"/>
        <v>0</v>
      </c>
      <c r="J122" s="4">
        <f t="shared" si="49"/>
        <v>4400000</v>
      </c>
      <c r="K122" s="4">
        <f t="shared" si="49"/>
        <v>0</v>
      </c>
      <c r="L122" s="4">
        <f t="shared" si="49"/>
        <v>0</v>
      </c>
      <c r="M122" s="4">
        <f t="shared" si="49"/>
        <v>0</v>
      </c>
      <c r="N122" s="4">
        <f t="shared" si="49"/>
        <v>0</v>
      </c>
      <c r="O122" s="4">
        <f t="shared" si="32"/>
        <v>0</v>
      </c>
      <c r="P122" s="4">
        <f t="shared" si="49"/>
        <v>0</v>
      </c>
      <c r="Q122" s="4">
        <f>Q123</f>
        <v>0</v>
      </c>
      <c r="R122" s="332"/>
      <c r="S122" s="436"/>
      <c r="T122" s="436">
        <f t="shared" si="33"/>
        <v>0</v>
      </c>
      <c r="U122" s="4">
        <f t="shared" si="49"/>
        <v>0</v>
      </c>
      <c r="V122" s="6">
        <f>U122*100/J122</f>
        <v>0</v>
      </c>
    </row>
    <row r="123" spans="1:22" s="59" customFormat="1" ht="13.5">
      <c r="A123" s="58"/>
      <c r="B123" s="1"/>
      <c r="C123" s="1"/>
      <c r="D123" s="1">
        <v>211</v>
      </c>
      <c r="E123" s="2"/>
      <c r="F123" s="2"/>
      <c r="G123" s="29" t="s">
        <v>138</v>
      </c>
      <c r="H123" s="4">
        <f aca="true" t="shared" si="50" ref="H123:N123">SUM(H124:H125)</f>
        <v>4400000</v>
      </c>
      <c r="I123" s="4">
        <f t="shared" si="50"/>
        <v>0</v>
      </c>
      <c r="J123" s="4">
        <f t="shared" si="50"/>
        <v>4400000</v>
      </c>
      <c r="K123" s="4">
        <f>SUM(K124:K125)</f>
        <v>0</v>
      </c>
      <c r="L123" s="4">
        <f t="shared" si="50"/>
        <v>0</v>
      </c>
      <c r="M123" s="4">
        <f t="shared" si="50"/>
        <v>0</v>
      </c>
      <c r="N123" s="4">
        <f t="shared" si="50"/>
        <v>0</v>
      </c>
      <c r="O123" s="4">
        <f t="shared" si="32"/>
        <v>0</v>
      </c>
      <c r="P123" s="4">
        <f>SUM(P124:P125)</f>
        <v>0</v>
      </c>
      <c r="Q123" s="4">
        <f>SUM(Q124:Q125)</f>
        <v>0</v>
      </c>
      <c r="R123" s="332"/>
      <c r="S123" s="436"/>
      <c r="T123" s="436">
        <f t="shared" si="33"/>
        <v>0</v>
      </c>
      <c r="U123" s="4">
        <f>SUM(U124:U125)</f>
        <v>0</v>
      </c>
      <c r="V123" s="6">
        <f>U123*100/J123</f>
        <v>0</v>
      </c>
    </row>
    <row r="124" spans="1:22" s="59" customFormat="1" ht="13.5">
      <c r="A124" s="58"/>
      <c r="B124" s="2"/>
      <c r="C124" s="2"/>
      <c r="D124" s="2" t="s">
        <v>139</v>
      </c>
      <c r="E124" s="2" t="s">
        <v>64</v>
      </c>
      <c r="F124" s="2" t="s">
        <v>21</v>
      </c>
      <c r="G124" s="26" t="s">
        <v>138</v>
      </c>
      <c r="H124" s="15">
        <v>4400000</v>
      </c>
      <c r="I124" s="15">
        <v>0</v>
      </c>
      <c r="J124" s="15">
        <f>H124+I124</f>
        <v>4400000</v>
      </c>
      <c r="K124" s="15">
        <v>0</v>
      </c>
      <c r="L124" s="15">
        <v>0</v>
      </c>
      <c r="M124" s="15">
        <v>0</v>
      </c>
      <c r="N124" s="15">
        <v>0</v>
      </c>
      <c r="O124" s="15">
        <f t="shared" si="32"/>
        <v>0</v>
      </c>
      <c r="P124" s="15">
        <v>0</v>
      </c>
      <c r="Q124" s="15">
        <v>0</v>
      </c>
      <c r="R124" s="331"/>
      <c r="S124" s="436"/>
      <c r="T124" s="436">
        <f t="shared" si="33"/>
        <v>0</v>
      </c>
      <c r="U124" s="15">
        <f>T124</f>
        <v>0</v>
      </c>
      <c r="V124" s="6">
        <f>U124*100/J124</f>
        <v>0</v>
      </c>
    </row>
    <row r="125" spans="1:22" s="59" customFormat="1" ht="13.5">
      <c r="A125" s="58"/>
      <c r="B125" s="2"/>
      <c r="C125" s="2"/>
      <c r="D125" s="2" t="s">
        <v>139</v>
      </c>
      <c r="E125" s="2" t="s">
        <v>147</v>
      </c>
      <c r="F125" s="2" t="s">
        <v>21</v>
      </c>
      <c r="G125" s="26" t="s">
        <v>205</v>
      </c>
      <c r="H125" s="15">
        <v>0</v>
      </c>
      <c r="I125" s="15">
        <v>0</v>
      </c>
      <c r="J125" s="15">
        <f>H125+I125</f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f t="shared" si="32"/>
        <v>0</v>
      </c>
      <c r="P125" s="15">
        <v>0</v>
      </c>
      <c r="Q125" s="15">
        <v>0</v>
      </c>
      <c r="R125" s="331"/>
      <c r="S125" s="436"/>
      <c r="T125" s="436">
        <f t="shared" si="33"/>
        <v>0</v>
      </c>
      <c r="U125" s="15">
        <f>T125</f>
        <v>0</v>
      </c>
      <c r="V125" s="6">
        <v>0</v>
      </c>
    </row>
    <row r="126" spans="2:22" s="59" customFormat="1" ht="8.25" customHeight="1">
      <c r="B126" s="2"/>
      <c r="C126" s="2"/>
      <c r="D126" s="2"/>
      <c r="E126" s="2"/>
      <c r="F126" s="2"/>
      <c r="G126" s="26"/>
      <c r="H126" s="15"/>
      <c r="I126" s="15"/>
      <c r="J126" s="15"/>
      <c r="K126" s="15"/>
      <c r="L126" s="15"/>
      <c r="M126" s="15"/>
      <c r="N126" s="15"/>
      <c r="O126" s="15">
        <f t="shared" si="32"/>
        <v>0</v>
      </c>
      <c r="P126" s="15"/>
      <c r="Q126" s="15"/>
      <c r="R126" s="331"/>
      <c r="S126" s="436"/>
      <c r="T126" s="436">
        <f t="shared" si="33"/>
        <v>0</v>
      </c>
      <c r="U126" s="15"/>
      <c r="V126" s="6"/>
    </row>
    <row r="127" spans="1:22" s="59" customFormat="1" ht="13.5">
      <c r="A127" s="58"/>
      <c r="B127" s="1"/>
      <c r="C127" s="1">
        <v>220</v>
      </c>
      <c r="D127" s="1"/>
      <c r="E127" s="1"/>
      <c r="F127" s="1"/>
      <c r="G127" s="29" t="s">
        <v>140</v>
      </c>
      <c r="H127" s="6">
        <f aca="true" t="shared" si="51" ref="H127:M127">H128+H133</f>
        <v>1554158120</v>
      </c>
      <c r="I127" s="6">
        <f t="shared" si="51"/>
        <v>31698101</v>
      </c>
      <c r="J127" s="6">
        <f t="shared" si="51"/>
        <v>1585856221</v>
      </c>
      <c r="K127" s="6">
        <f t="shared" si="51"/>
        <v>264666532</v>
      </c>
      <c r="L127" s="6">
        <f t="shared" si="51"/>
        <v>0</v>
      </c>
      <c r="M127" s="6">
        <f t="shared" si="51"/>
        <v>407540647</v>
      </c>
      <c r="N127" s="6">
        <f aca="true" t="shared" si="52" ref="N127:S127">N128+N133</f>
        <v>0</v>
      </c>
      <c r="O127" s="6">
        <f t="shared" si="32"/>
        <v>672207179</v>
      </c>
      <c r="P127" s="6">
        <f t="shared" si="52"/>
        <v>0</v>
      </c>
      <c r="Q127" s="6">
        <f t="shared" si="52"/>
        <v>0</v>
      </c>
      <c r="R127" s="6">
        <f t="shared" si="52"/>
        <v>533777375</v>
      </c>
      <c r="S127" s="6">
        <f t="shared" si="52"/>
        <v>91067173</v>
      </c>
      <c r="T127" s="6">
        <f t="shared" si="33"/>
        <v>1297051727</v>
      </c>
      <c r="U127" s="6">
        <f>U128+U133</f>
        <v>1297051727</v>
      </c>
      <c r="V127" s="6">
        <f aca="true" t="shared" si="53" ref="V127:V156">U127*100/J127</f>
        <v>81.78873404942806</v>
      </c>
    </row>
    <row r="128" spans="1:22" s="59" customFormat="1" ht="20.25">
      <c r="A128" s="58"/>
      <c r="B128" s="1"/>
      <c r="C128" s="1"/>
      <c r="D128" s="1">
        <v>223</v>
      </c>
      <c r="E128" s="1"/>
      <c r="F128" s="1"/>
      <c r="G128" s="29" t="s">
        <v>268</v>
      </c>
      <c r="H128" s="6">
        <f aca="true" t="shared" si="54" ref="H128:M128">SUM(H129:H131)</f>
        <v>1554158120</v>
      </c>
      <c r="I128" s="6">
        <f t="shared" si="54"/>
        <v>31698101</v>
      </c>
      <c r="J128" s="6">
        <f t="shared" si="54"/>
        <v>1585856221</v>
      </c>
      <c r="K128" s="6">
        <f t="shared" si="54"/>
        <v>264666532</v>
      </c>
      <c r="L128" s="6">
        <f t="shared" si="54"/>
        <v>0</v>
      </c>
      <c r="M128" s="6">
        <f t="shared" si="54"/>
        <v>407540647</v>
      </c>
      <c r="N128" s="6">
        <f aca="true" t="shared" si="55" ref="N128:S128">SUM(N129:N131)</f>
        <v>0</v>
      </c>
      <c r="O128" s="6">
        <f t="shared" si="32"/>
        <v>672207179</v>
      </c>
      <c r="P128" s="6">
        <f t="shared" si="55"/>
        <v>0</v>
      </c>
      <c r="Q128" s="6">
        <f t="shared" si="55"/>
        <v>0</v>
      </c>
      <c r="R128" s="6">
        <f t="shared" si="55"/>
        <v>533777375</v>
      </c>
      <c r="S128" s="6">
        <f t="shared" si="55"/>
        <v>91067173</v>
      </c>
      <c r="T128" s="6">
        <f t="shared" si="33"/>
        <v>1297051727</v>
      </c>
      <c r="U128" s="6">
        <f>SUM(U129:U131)</f>
        <v>1297051727</v>
      </c>
      <c r="V128" s="6">
        <f t="shared" si="53"/>
        <v>81.78873404942806</v>
      </c>
    </row>
    <row r="129" spans="1:22" s="59" customFormat="1" ht="13.5">
      <c r="A129" s="58"/>
      <c r="B129" s="1"/>
      <c r="C129" s="1"/>
      <c r="D129" s="2" t="s">
        <v>141</v>
      </c>
      <c r="E129" s="2" t="s">
        <v>129</v>
      </c>
      <c r="F129" s="2" t="s">
        <v>32</v>
      </c>
      <c r="G129" s="26" t="s">
        <v>0</v>
      </c>
      <c r="H129" s="7">
        <v>985070343</v>
      </c>
      <c r="I129" s="15">
        <v>30309856</v>
      </c>
      <c r="J129" s="7">
        <f>H129+I129</f>
        <v>1015380199</v>
      </c>
      <c r="K129" s="15">
        <v>264666532</v>
      </c>
      <c r="L129" s="15">
        <v>0</v>
      </c>
      <c r="M129" s="15">
        <v>332417639</v>
      </c>
      <c r="N129" s="15">
        <v>0</v>
      </c>
      <c r="O129" s="15">
        <f t="shared" si="32"/>
        <v>597084171</v>
      </c>
      <c r="P129" s="15">
        <v>0</v>
      </c>
      <c r="Q129" s="15">
        <v>0</v>
      </c>
      <c r="R129" s="331">
        <v>382590828</v>
      </c>
      <c r="S129" s="436">
        <v>77076305</v>
      </c>
      <c r="T129" s="436">
        <f t="shared" si="33"/>
        <v>1056751304</v>
      </c>
      <c r="U129" s="15">
        <f>T129</f>
        <v>1056751304</v>
      </c>
      <c r="V129" s="6">
        <f t="shared" si="53"/>
        <v>104.07444472924963</v>
      </c>
    </row>
    <row r="130" spans="1:22" s="59" customFormat="1" ht="13.5">
      <c r="A130" s="58"/>
      <c r="B130" s="1"/>
      <c r="C130" s="1"/>
      <c r="D130" s="2" t="s">
        <v>141</v>
      </c>
      <c r="E130" s="2" t="s">
        <v>129</v>
      </c>
      <c r="F130" s="2" t="s">
        <v>55</v>
      </c>
      <c r="G130" s="26" t="s">
        <v>479</v>
      </c>
      <c r="H130" s="7">
        <v>530587777</v>
      </c>
      <c r="I130" s="501">
        <v>-10611755</v>
      </c>
      <c r="J130" s="7">
        <f>H130+I130</f>
        <v>519976022</v>
      </c>
      <c r="K130" s="15">
        <v>0</v>
      </c>
      <c r="L130" s="15">
        <v>0</v>
      </c>
      <c r="M130" s="15">
        <v>75123008</v>
      </c>
      <c r="N130" s="15">
        <v>0</v>
      </c>
      <c r="O130" s="15">
        <f t="shared" si="32"/>
        <v>75123008</v>
      </c>
      <c r="P130" s="15">
        <v>0</v>
      </c>
      <c r="Q130" s="15">
        <v>0</v>
      </c>
      <c r="R130" s="331">
        <v>151186547</v>
      </c>
      <c r="S130" s="436">
        <v>13990868</v>
      </c>
      <c r="T130" s="436">
        <f t="shared" si="33"/>
        <v>240300423</v>
      </c>
      <c r="U130" s="15">
        <f>T130</f>
        <v>240300423</v>
      </c>
      <c r="V130" s="6">
        <f t="shared" si="53"/>
        <v>46.213750794839534</v>
      </c>
    </row>
    <row r="131" spans="1:22" s="59" customFormat="1" ht="20.25">
      <c r="A131" s="58"/>
      <c r="B131" s="1"/>
      <c r="C131" s="1"/>
      <c r="D131" s="2" t="s">
        <v>141</v>
      </c>
      <c r="E131" s="2" t="s">
        <v>130</v>
      </c>
      <c r="F131" s="2" t="s">
        <v>33</v>
      </c>
      <c r="G131" s="26" t="s">
        <v>250</v>
      </c>
      <c r="H131" s="7">
        <v>38500000</v>
      </c>
      <c r="I131" s="7">
        <v>12000000</v>
      </c>
      <c r="J131" s="7">
        <f>H131+I131</f>
        <v>50500000</v>
      </c>
      <c r="K131" s="15">
        <v>0</v>
      </c>
      <c r="L131" s="15">
        <v>0</v>
      </c>
      <c r="M131" s="15">
        <v>0</v>
      </c>
      <c r="N131" s="15">
        <v>0</v>
      </c>
      <c r="O131" s="15">
        <f t="shared" si="32"/>
        <v>0</v>
      </c>
      <c r="P131" s="15">
        <v>0</v>
      </c>
      <c r="Q131" s="15">
        <v>0</v>
      </c>
      <c r="R131" s="331">
        <v>0</v>
      </c>
      <c r="S131" s="436">
        <v>0</v>
      </c>
      <c r="T131" s="436">
        <f t="shared" si="33"/>
        <v>0</v>
      </c>
      <c r="U131" s="15">
        <f>T131</f>
        <v>0</v>
      </c>
      <c r="V131" s="6">
        <f t="shared" si="53"/>
        <v>0</v>
      </c>
    </row>
    <row r="132" spans="2:22" s="59" customFormat="1" ht="8.25" customHeight="1">
      <c r="B132" s="1"/>
      <c r="C132" s="1"/>
      <c r="D132" s="2"/>
      <c r="E132" s="2"/>
      <c r="F132" s="2"/>
      <c r="G132" s="26"/>
      <c r="H132" s="7"/>
      <c r="I132" s="7"/>
      <c r="J132" s="7"/>
      <c r="K132" s="15"/>
      <c r="L132" s="15">
        <v>0</v>
      </c>
      <c r="M132" s="15"/>
      <c r="N132" s="15"/>
      <c r="O132" s="15">
        <f t="shared" si="32"/>
        <v>0</v>
      </c>
      <c r="P132" s="15"/>
      <c r="Q132" s="15"/>
      <c r="R132" s="331"/>
      <c r="S132" s="436"/>
      <c r="T132" s="436">
        <f t="shared" si="33"/>
        <v>0</v>
      </c>
      <c r="U132" s="15"/>
      <c r="V132" s="6"/>
    </row>
    <row r="133" spans="1:22" s="60" customFormat="1" ht="20.25" hidden="1">
      <c r="A133" s="58"/>
      <c r="B133" s="1"/>
      <c r="C133" s="1"/>
      <c r="D133" s="1" t="s">
        <v>251</v>
      </c>
      <c r="E133" s="1"/>
      <c r="F133" s="1"/>
      <c r="G133" s="29" t="s">
        <v>269</v>
      </c>
      <c r="H133" s="6">
        <f aca="true" t="shared" si="56" ref="H133:N133">SUM(H134:H135)</f>
        <v>0</v>
      </c>
      <c r="I133" s="6">
        <f t="shared" si="56"/>
        <v>0</v>
      </c>
      <c r="J133" s="6">
        <f t="shared" si="56"/>
        <v>0</v>
      </c>
      <c r="K133" s="6">
        <f t="shared" si="56"/>
        <v>0</v>
      </c>
      <c r="L133" s="6">
        <f t="shared" si="56"/>
        <v>0</v>
      </c>
      <c r="M133" s="6">
        <f t="shared" si="56"/>
        <v>0</v>
      </c>
      <c r="N133" s="6">
        <f t="shared" si="56"/>
        <v>0</v>
      </c>
      <c r="O133" s="6">
        <f t="shared" si="32"/>
        <v>0</v>
      </c>
      <c r="P133" s="6">
        <f>SUM(P134:P135)</f>
        <v>0</v>
      </c>
      <c r="Q133" s="6">
        <f>SUM(Q134:Q135)</f>
        <v>0</v>
      </c>
      <c r="R133" s="335"/>
      <c r="S133" s="437"/>
      <c r="T133" s="437">
        <f t="shared" si="33"/>
        <v>0</v>
      </c>
      <c r="U133" s="6">
        <f>SUM(U134:U135)</f>
        <v>0</v>
      </c>
      <c r="V133" s="6" t="e">
        <f t="shared" si="53"/>
        <v>#DIV/0!</v>
      </c>
    </row>
    <row r="134" spans="1:22" s="60" customFormat="1" ht="20.25" hidden="1">
      <c r="A134" s="58"/>
      <c r="B134" s="1"/>
      <c r="C134" s="1"/>
      <c r="D134" s="2" t="s">
        <v>251</v>
      </c>
      <c r="E134" s="2" t="s">
        <v>64</v>
      </c>
      <c r="F134" s="2" t="s">
        <v>58</v>
      </c>
      <c r="G134" s="26" t="s">
        <v>252</v>
      </c>
      <c r="H134" s="7">
        <v>0</v>
      </c>
      <c r="I134" s="7">
        <v>0</v>
      </c>
      <c r="J134" s="7">
        <f>H134+I134</f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f t="shared" si="32"/>
        <v>0</v>
      </c>
      <c r="P134" s="15">
        <v>0</v>
      </c>
      <c r="Q134" s="15">
        <v>0</v>
      </c>
      <c r="R134" s="331"/>
      <c r="S134" s="437"/>
      <c r="T134" s="437">
        <f t="shared" si="33"/>
        <v>0</v>
      </c>
      <c r="U134" s="15">
        <f>T134</f>
        <v>0</v>
      </c>
      <c r="V134" s="6" t="e">
        <f t="shared" si="53"/>
        <v>#DIV/0!</v>
      </c>
    </row>
    <row r="135" spans="1:22" s="60" customFormat="1" ht="13.5" hidden="1">
      <c r="A135" s="58"/>
      <c r="B135" s="16"/>
      <c r="C135" s="16"/>
      <c r="D135" s="17"/>
      <c r="E135" s="17"/>
      <c r="F135" s="17"/>
      <c r="G135" s="68"/>
      <c r="H135" s="7"/>
      <c r="I135" s="7"/>
      <c r="J135" s="7"/>
      <c r="K135" s="19"/>
      <c r="L135" s="19"/>
      <c r="M135" s="19"/>
      <c r="N135" s="19"/>
      <c r="O135" s="19">
        <f t="shared" si="32"/>
        <v>0</v>
      </c>
      <c r="P135" s="19"/>
      <c r="Q135" s="19"/>
      <c r="R135" s="333"/>
      <c r="S135" s="437"/>
      <c r="T135" s="437">
        <f t="shared" si="33"/>
        <v>0</v>
      </c>
      <c r="U135" s="19"/>
      <c r="V135" s="6" t="e">
        <f t="shared" si="53"/>
        <v>#DIV/0!</v>
      </c>
    </row>
    <row r="136" spans="1:22" s="59" customFormat="1" ht="13.5" hidden="1">
      <c r="A136" s="58"/>
      <c r="B136" s="1"/>
      <c r="C136" s="1" t="s">
        <v>222</v>
      </c>
      <c r="D136" s="1"/>
      <c r="E136" s="1"/>
      <c r="F136" s="1"/>
      <c r="G136" s="29" t="s">
        <v>206</v>
      </c>
      <c r="H136" s="6">
        <f aca="true" t="shared" si="57" ref="H136:P136">H137</f>
        <v>0</v>
      </c>
      <c r="I136" s="6">
        <f t="shared" si="57"/>
        <v>0</v>
      </c>
      <c r="J136" s="6">
        <f t="shared" si="57"/>
        <v>0</v>
      </c>
      <c r="K136" s="6">
        <f t="shared" si="57"/>
        <v>0</v>
      </c>
      <c r="L136" s="6">
        <f t="shared" si="57"/>
        <v>0</v>
      </c>
      <c r="M136" s="6">
        <f t="shared" si="57"/>
        <v>0</v>
      </c>
      <c r="N136" s="6">
        <f t="shared" si="57"/>
        <v>0</v>
      </c>
      <c r="O136" s="6">
        <f t="shared" si="32"/>
        <v>0</v>
      </c>
      <c r="P136" s="6">
        <f t="shared" si="57"/>
        <v>0</v>
      </c>
      <c r="Q136" s="6">
        <f>Q137</f>
        <v>0</v>
      </c>
      <c r="R136" s="335"/>
      <c r="S136" s="436"/>
      <c r="T136" s="436">
        <f t="shared" si="33"/>
        <v>0</v>
      </c>
      <c r="U136" s="6">
        <f>U137</f>
        <v>0</v>
      </c>
      <c r="V136" s="6" t="e">
        <f t="shared" si="53"/>
        <v>#DIV/0!</v>
      </c>
    </row>
    <row r="137" spans="1:22" s="59" customFormat="1" ht="13.5" hidden="1">
      <c r="A137" s="58"/>
      <c r="B137" s="1"/>
      <c r="C137" s="1"/>
      <c r="D137" s="1" t="s">
        <v>10</v>
      </c>
      <c r="E137" s="1"/>
      <c r="F137" s="1"/>
      <c r="G137" s="29" t="s">
        <v>177</v>
      </c>
      <c r="H137" s="6">
        <f aca="true" t="shared" si="58" ref="H137:N137">H138</f>
        <v>0</v>
      </c>
      <c r="I137" s="6">
        <f t="shared" si="58"/>
        <v>0</v>
      </c>
      <c r="J137" s="6">
        <f t="shared" si="58"/>
        <v>0</v>
      </c>
      <c r="K137" s="6">
        <f t="shared" si="58"/>
        <v>0</v>
      </c>
      <c r="L137" s="6">
        <f t="shared" si="58"/>
        <v>0</v>
      </c>
      <c r="M137" s="6">
        <f t="shared" si="58"/>
        <v>0</v>
      </c>
      <c r="N137" s="6">
        <f t="shared" si="58"/>
        <v>0</v>
      </c>
      <c r="O137" s="6">
        <f aca="true" t="shared" si="59" ref="O137:O158">SUM(K137:N137)</f>
        <v>0</v>
      </c>
      <c r="P137" s="6">
        <f>P138</f>
        <v>0</v>
      </c>
      <c r="Q137" s="6">
        <f>Q138</f>
        <v>0</v>
      </c>
      <c r="R137" s="335"/>
      <c r="S137" s="436"/>
      <c r="T137" s="436">
        <f aca="true" t="shared" si="60" ref="T137:T158">SUM(O137:S137)</f>
        <v>0</v>
      </c>
      <c r="U137" s="6">
        <f>U138</f>
        <v>0</v>
      </c>
      <c r="V137" s="6" t="e">
        <f t="shared" si="53"/>
        <v>#DIV/0!</v>
      </c>
    </row>
    <row r="138" spans="1:22" s="59" customFormat="1" ht="13.5" hidden="1">
      <c r="A138" s="58"/>
      <c r="B138" s="1"/>
      <c r="C138" s="1"/>
      <c r="D138" s="2" t="s">
        <v>10</v>
      </c>
      <c r="E138" s="2" t="s">
        <v>63</v>
      </c>
      <c r="F138" s="2" t="s">
        <v>21</v>
      </c>
      <c r="G138" s="26" t="s">
        <v>177</v>
      </c>
      <c r="H138" s="7">
        <v>0</v>
      </c>
      <c r="I138" s="7">
        <v>0</v>
      </c>
      <c r="J138" s="7">
        <f>H138+I138</f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f t="shared" si="59"/>
        <v>0</v>
      </c>
      <c r="P138" s="15">
        <v>0</v>
      </c>
      <c r="Q138" s="15">
        <v>0</v>
      </c>
      <c r="R138" s="331"/>
      <c r="S138" s="436"/>
      <c r="T138" s="436">
        <f t="shared" si="60"/>
        <v>0</v>
      </c>
      <c r="U138" s="15">
        <f>T138</f>
        <v>0</v>
      </c>
      <c r="V138" s="6" t="e">
        <f t="shared" si="53"/>
        <v>#DIV/0!</v>
      </c>
    </row>
    <row r="139" spans="1:22" s="277" customFormat="1" ht="12.75">
      <c r="A139" s="12"/>
      <c r="B139" s="16"/>
      <c r="C139" s="16"/>
      <c r="D139" s="17"/>
      <c r="E139" s="17"/>
      <c r="F139" s="17"/>
      <c r="G139" s="68"/>
      <c r="H139" s="7"/>
      <c r="I139" s="7"/>
      <c r="J139" s="7"/>
      <c r="K139" s="19"/>
      <c r="L139" s="19"/>
      <c r="M139" s="19"/>
      <c r="N139" s="19"/>
      <c r="O139" s="19">
        <f t="shared" si="59"/>
        <v>0</v>
      </c>
      <c r="P139" s="19"/>
      <c r="Q139" s="19"/>
      <c r="R139" s="333"/>
      <c r="S139" s="442"/>
      <c r="T139" s="442">
        <f t="shared" si="60"/>
        <v>0</v>
      </c>
      <c r="U139" s="19"/>
      <c r="V139" s="6"/>
    </row>
    <row r="140" spans="1:23" s="12" customFormat="1" ht="17.25">
      <c r="A140" s="33"/>
      <c r="B140" s="9">
        <v>300</v>
      </c>
      <c r="C140" s="10"/>
      <c r="D140" s="10"/>
      <c r="E140" s="10"/>
      <c r="F140" s="10"/>
      <c r="G140" s="275" t="s">
        <v>142</v>
      </c>
      <c r="H140" s="3">
        <f aca="true" t="shared" si="61" ref="H140:M140">H141+H146+H150</f>
        <v>0</v>
      </c>
      <c r="I140" s="3">
        <f t="shared" si="61"/>
        <v>232653978</v>
      </c>
      <c r="J140" s="3">
        <f t="shared" si="61"/>
        <v>232653978</v>
      </c>
      <c r="K140" s="3">
        <f t="shared" si="61"/>
        <v>0</v>
      </c>
      <c r="L140" s="3">
        <f t="shared" si="61"/>
        <v>0</v>
      </c>
      <c r="M140" s="3">
        <f t="shared" si="61"/>
        <v>0</v>
      </c>
      <c r="N140" s="3">
        <f>+N150</f>
        <v>232653978</v>
      </c>
      <c r="O140" s="3">
        <f t="shared" si="59"/>
        <v>232653978</v>
      </c>
      <c r="P140" s="3">
        <f aca="true" t="shared" si="62" ref="P140:U140">+P150</f>
        <v>0</v>
      </c>
      <c r="Q140" s="3">
        <f t="shared" si="62"/>
        <v>0</v>
      </c>
      <c r="R140" s="3">
        <f t="shared" si="62"/>
        <v>0</v>
      </c>
      <c r="S140" s="3">
        <f t="shared" si="62"/>
        <v>0</v>
      </c>
      <c r="T140" s="3">
        <f t="shared" si="60"/>
        <v>232653978</v>
      </c>
      <c r="U140" s="3">
        <f t="shared" si="62"/>
        <v>232653978</v>
      </c>
      <c r="V140" s="6">
        <f t="shared" si="53"/>
        <v>100</v>
      </c>
      <c r="W140" s="124"/>
    </row>
    <row r="141" spans="1:22" s="59" customFormat="1" ht="13.5" hidden="1">
      <c r="A141" s="58"/>
      <c r="B141" s="2"/>
      <c r="C141" s="1" t="s">
        <v>254</v>
      </c>
      <c r="D141" s="2"/>
      <c r="E141" s="2"/>
      <c r="F141" s="2"/>
      <c r="G141" s="29" t="s">
        <v>255</v>
      </c>
      <c r="H141" s="3">
        <f aca="true" t="shared" si="63" ref="H141:U141">H142</f>
        <v>0</v>
      </c>
      <c r="I141" s="3">
        <f t="shared" si="63"/>
        <v>0</v>
      </c>
      <c r="J141" s="3">
        <f t="shared" si="63"/>
        <v>0</v>
      </c>
      <c r="K141" s="3">
        <f t="shared" si="63"/>
        <v>0</v>
      </c>
      <c r="L141" s="3">
        <f t="shared" si="63"/>
        <v>0</v>
      </c>
      <c r="M141" s="3">
        <f t="shared" si="63"/>
        <v>0</v>
      </c>
      <c r="N141" s="3">
        <f t="shared" si="63"/>
        <v>0</v>
      </c>
      <c r="O141" s="3">
        <f t="shared" si="59"/>
        <v>0</v>
      </c>
      <c r="P141" s="3">
        <f t="shared" si="63"/>
        <v>0</v>
      </c>
      <c r="Q141" s="3">
        <f t="shared" si="63"/>
        <v>0</v>
      </c>
      <c r="R141" s="3">
        <f t="shared" si="63"/>
        <v>0</v>
      </c>
      <c r="S141" s="3">
        <f t="shared" si="63"/>
        <v>0</v>
      </c>
      <c r="T141" s="3">
        <f t="shared" si="60"/>
        <v>0</v>
      </c>
      <c r="U141" s="3">
        <f t="shared" si="63"/>
        <v>0</v>
      </c>
      <c r="V141" s="6" t="e">
        <f t="shared" si="53"/>
        <v>#DIV/0!</v>
      </c>
    </row>
    <row r="142" spans="1:22" s="59" customFormat="1" ht="13.5" hidden="1">
      <c r="A142" s="58"/>
      <c r="B142" s="2"/>
      <c r="C142" s="1"/>
      <c r="D142" s="1" t="s">
        <v>253</v>
      </c>
      <c r="E142" s="1"/>
      <c r="F142" s="1"/>
      <c r="G142" s="29" t="s">
        <v>256</v>
      </c>
      <c r="H142" s="3">
        <f aca="true" t="shared" si="64" ref="H142:N142">SUM(H143:H144)</f>
        <v>0</v>
      </c>
      <c r="I142" s="3">
        <f t="shared" si="64"/>
        <v>0</v>
      </c>
      <c r="J142" s="3">
        <f t="shared" si="64"/>
        <v>0</v>
      </c>
      <c r="K142" s="3">
        <f t="shared" si="64"/>
        <v>0</v>
      </c>
      <c r="L142" s="3">
        <f t="shared" si="64"/>
        <v>0</v>
      </c>
      <c r="M142" s="3">
        <f t="shared" si="64"/>
        <v>0</v>
      </c>
      <c r="N142" s="3">
        <f t="shared" si="64"/>
        <v>0</v>
      </c>
      <c r="O142" s="3">
        <f t="shared" si="59"/>
        <v>0</v>
      </c>
      <c r="P142" s="3">
        <f aca="true" t="shared" si="65" ref="P142:U142">SUM(P143:P144)</f>
        <v>0</v>
      </c>
      <c r="Q142" s="3">
        <f t="shared" si="65"/>
        <v>0</v>
      </c>
      <c r="R142" s="3">
        <f t="shared" si="65"/>
        <v>0</v>
      </c>
      <c r="S142" s="3">
        <f t="shared" si="65"/>
        <v>0</v>
      </c>
      <c r="T142" s="3">
        <f t="shared" si="60"/>
        <v>0</v>
      </c>
      <c r="U142" s="3">
        <f t="shared" si="65"/>
        <v>0</v>
      </c>
      <c r="V142" s="6" t="e">
        <f t="shared" si="53"/>
        <v>#DIV/0!</v>
      </c>
    </row>
    <row r="143" spans="1:22" s="59" customFormat="1" ht="13.5" hidden="1">
      <c r="A143" s="58"/>
      <c r="B143" s="2"/>
      <c r="C143" s="2"/>
      <c r="D143" s="2" t="s">
        <v>253</v>
      </c>
      <c r="E143" s="2" t="s">
        <v>21</v>
      </c>
      <c r="F143" s="2" t="s">
        <v>21</v>
      </c>
      <c r="G143" s="26" t="s">
        <v>256</v>
      </c>
      <c r="H143" s="5">
        <v>0</v>
      </c>
      <c r="I143" s="5">
        <v>0</v>
      </c>
      <c r="J143" s="5">
        <f>H143+I143</f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f t="shared" si="59"/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f t="shared" si="60"/>
        <v>0</v>
      </c>
      <c r="U143" s="15">
        <v>0</v>
      </c>
      <c r="V143" s="6" t="e">
        <f t="shared" si="53"/>
        <v>#DIV/0!</v>
      </c>
    </row>
    <row r="144" spans="1:22" s="59" customFormat="1" ht="13.5" hidden="1">
      <c r="A144" s="58"/>
      <c r="B144" s="2"/>
      <c r="C144" s="2"/>
      <c r="D144" s="2" t="s">
        <v>253</v>
      </c>
      <c r="E144" s="2" t="s">
        <v>63</v>
      </c>
      <c r="F144" s="2" t="s">
        <v>21</v>
      </c>
      <c r="G144" s="26" t="s">
        <v>257</v>
      </c>
      <c r="H144" s="5">
        <v>0</v>
      </c>
      <c r="I144" s="5">
        <v>0</v>
      </c>
      <c r="J144" s="5">
        <f>H144+I144</f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f t="shared" si="59"/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f t="shared" si="60"/>
        <v>0</v>
      </c>
      <c r="U144" s="15">
        <v>0</v>
      </c>
      <c r="V144" s="6" t="e">
        <f t="shared" si="53"/>
        <v>#DIV/0!</v>
      </c>
    </row>
    <row r="145" spans="1:22" s="59" customFormat="1" ht="13.5" hidden="1">
      <c r="A145" s="58"/>
      <c r="B145" s="2"/>
      <c r="C145" s="2"/>
      <c r="D145" s="2"/>
      <c r="E145" s="2"/>
      <c r="F145" s="2"/>
      <c r="G145" s="26"/>
      <c r="H145" s="5"/>
      <c r="I145" s="5"/>
      <c r="J145" s="5"/>
      <c r="K145" s="15"/>
      <c r="L145" s="15"/>
      <c r="M145" s="15"/>
      <c r="N145" s="15"/>
      <c r="O145" s="15">
        <f t="shared" si="59"/>
        <v>0</v>
      </c>
      <c r="P145" s="15"/>
      <c r="Q145" s="15"/>
      <c r="R145" s="15"/>
      <c r="S145" s="15"/>
      <c r="T145" s="15">
        <f t="shared" si="60"/>
        <v>0</v>
      </c>
      <c r="U145" s="15"/>
      <c r="V145" s="6" t="e">
        <f t="shared" si="53"/>
        <v>#DIV/0!</v>
      </c>
    </row>
    <row r="146" spans="1:22" s="59" customFormat="1" ht="13.5" hidden="1">
      <c r="A146" s="58"/>
      <c r="B146" s="1"/>
      <c r="C146" s="1" t="s">
        <v>165</v>
      </c>
      <c r="D146" s="2"/>
      <c r="E146" s="2"/>
      <c r="F146" s="2"/>
      <c r="G146" s="29" t="s">
        <v>169</v>
      </c>
      <c r="H146" s="3">
        <f aca="true" t="shared" si="66" ref="H146:U146">H147</f>
        <v>0</v>
      </c>
      <c r="I146" s="3">
        <f t="shared" si="66"/>
        <v>0</v>
      </c>
      <c r="J146" s="3">
        <f t="shared" si="66"/>
        <v>0</v>
      </c>
      <c r="K146" s="3">
        <f t="shared" si="66"/>
        <v>0</v>
      </c>
      <c r="L146" s="3">
        <f t="shared" si="66"/>
        <v>0</v>
      </c>
      <c r="M146" s="3">
        <f t="shared" si="66"/>
        <v>0</v>
      </c>
      <c r="N146" s="3">
        <f t="shared" si="66"/>
        <v>0</v>
      </c>
      <c r="O146" s="3">
        <f t="shared" si="59"/>
        <v>0</v>
      </c>
      <c r="P146" s="3">
        <f t="shared" si="66"/>
        <v>1</v>
      </c>
      <c r="Q146" s="3">
        <f t="shared" si="66"/>
        <v>2</v>
      </c>
      <c r="R146" s="3">
        <f t="shared" si="66"/>
        <v>3</v>
      </c>
      <c r="S146" s="3">
        <f t="shared" si="66"/>
        <v>4</v>
      </c>
      <c r="T146" s="3">
        <f t="shared" si="60"/>
        <v>10</v>
      </c>
      <c r="U146" s="3">
        <f t="shared" si="66"/>
        <v>6</v>
      </c>
      <c r="V146" s="6" t="e">
        <f t="shared" si="53"/>
        <v>#DIV/0!</v>
      </c>
    </row>
    <row r="147" spans="1:22" s="59" customFormat="1" ht="13.5" hidden="1">
      <c r="A147" s="58"/>
      <c r="B147" s="1"/>
      <c r="C147" s="1"/>
      <c r="D147" s="1" t="s">
        <v>170</v>
      </c>
      <c r="E147" s="1"/>
      <c r="F147" s="1"/>
      <c r="G147" s="29" t="s">
        <v>179</v>
      </c>
      <c r="H147" s="3">
        <f aca="true" t="shared" si="67" ref="H147:U147">H148</f>
        <v>0</v>
      </c>
      <c r="I147" s="3">
        <f t="shared" si="67"/>
        <v>0</v>
      </c>
      <c r="J147" s="3">
        <f t="shared" si="67"/>
        <v>0</v>
      </c>
      <c r="K147" s="3">
        <f t="shared" si="67"/>
        <v>0</v>
      </c>
      <c r="L147" s="3">
        <f t="shared" si="67"/>
        <v>0</v>
      </c>
      <c r="M147" s="3">
        <f t="shared" si="67"/>
        <v>0</v>
      </c>
      <c r="N147" s="3">
        <f t="shared" si="67"/>
        <v>0</v>
      </c>
      <c r="O147" s="3">
        <f t="shared" si="59"/>
        <v>0</v>
      </c>
      <c r="P147" s="3">
        <f t="shared" si="67"/>
        <v>1</v>
      </c>
      <c r="Q147" s="3">
        <f t="shared" si="67"/>
        <v>2</v>
      </c>
      <c r="R147" s="3">
        <f t="shared" si="67"/>
        <v>3</v>
      </c>
      <c r="S147" s="3">
        <f t="shared" si="67"/>
        <v>4</v>
      </c>
      <c r="T147" s="3">
        <f t="shared" si="60"/>
        <v>10</v>
      </c>
      <c r="U147" s="3">
        <f t="shared" si="67"/>
        <v>6</v>
      </c>
      <c r="V147" s="6" t="e">
        <f t="shared" si="53"/>
        <v>#DIV/0!</v>
      </c>
    </row>
    <row r="148" spans="1:22" s="59" customFormat="1" ht="13.5" hidden="1">
      <c r="A148" s="58"/>
      <c r="B148" s="2"/>
      <c r="C148" s="2"/>
      <c r="D148" s="2" t="s">
        <v>170</v>
      </c>
      <c r="E148" s="2" t="s">
        <v>21</v>
      </c>
      <c r="F148" s="2" t="s">
        <v>21</v>
      </c>
      <c r="G148" s="26" t="s">
        <v>179</v>
      </c>
      <c r="H148" s="5">
        <v>0</v>
      </c>
      <c r="I148" s="5">
        <v>0</v>
      </c>
      <c r="J148" s="5">
        <f>H148+I148</f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f t="shared" si="59"/>
        <v>0</v>
      </c>
      <c r="P148" s="15">
        <v>1</v>
      </c>
      <c r="Q148" s="15">
        <v>2</v>
      </c>
      <c r="R148" s="15">
        <v>3</v>
      </c>
      <c r="S148" s="15">
        <v>4</v>
      </c>
      <c r="T148" s="15">
        <f t="shared" si="60"/>
        <v>10</v>
      </c>
      <c r="U148" s="15">
        <v>6</v>
      </c>
      <c r="V148" s="6" t="e">
        <f t="shared" si="53"/>
        <v>#DIV/0!</v>
      </c>
    </row>
    <row r="149" spans="1:22" s="59" customFormat="1" ht="13.5" hidden="1">
      <c r="A149" s="58"/>
      <c r="B149" s="2"/>
      <c r="C149" s="2"/>
      <c r="D149" s="2"/>
      <c r="E149" s="2"/>
      <c r="F149" s="2"/>
      <c r="G149" s="26"/>
      <c r="H149" s="5"/>
      <c r="I149" s="5"/>
      <c r="J149" s="5"/>
      <c r="K149" s="15"/>
      <c r="L149" s="15"/>
      <c r="M149" s="15"/>
      <c r="N149" s="15"/>
      <c r="O149" s="15">
        <f t="shared" si="59"/>
        <v>0</v>
      </c>
      <c r="P149" s="15"/>
      <c r="Q149" s="15"/>
      <c r="R149" s="15"/>
      <c r="S149" s="15"/>
      <c r="T149" s="15">
        <f t="shared" si="60"/>
        <v>0</v>
      </c>
      <c r="U149" s="15"/>
      <c r="V149" s="6" t="e">
        <f t="shared" si="53"/>
        <v>#DIV/0!</v>
      </c>
    </row>
    <row r="150" spans="1:22" s="59" customFormat="1" ht="13.5">
      <c r="A150" s="58"/>
      <c r="B150" s="2"/>
      <c r="C150" s="1" t="s">
        <v>143</v>
      </c>
      <c r="D150" s="2"/>
      <c r="E150" s="2"/>
      <c r="F150" s="2"/>
      <c r="G150" s="29" t="s">
        <v>144</v>
      </c>
      <c r="H150" s="3">
        <f aca="true" t="shared" si="68" ref="H150:M150">H151+H154</f>
        <v>0</v>
      </c>
      <c r="I150" s="3">
        <f t="shared" si="68"/>
        <v>232653978</v>
      </c>
      <c r="J150" s="3">
        <f t="shared" si="68"/>
        <v>232653978</v>
      </c>
      <c r="K150" s="3">
        <f t="shared" si="68"/>
        <v>0</v>
      </c>
      <c r="L150" s="3">
        <f t="shared" si="68"/>
        <v>0</v>
      </c>
      <c r="M150" s="3">
        <f t="shared" si="68"/>
        <v>0</v>
      </c>
      <c r="N150" s="3">
        <f>+N154</f>
        <v>232653978</v>
      </c>
      <c r="O150" s="3">
        <f t="shared" si="59"/>
        <v>232653978</v>
      </c>
      <c r="P150" s="3">
        <f aca="true" t="shared" si="69" ref="P150:U150">+P154</f>
        <v>0</v>
      </c>
      <c r="Q150" s="3">
        <f t="shared" si="69"/>
        <v>0</v>
      </c>
      <c r="R150" s="3">
        <f t="shared" si="69"/>
        <v>0</v>
      </c>
      <c r="S150" s="3">
        <f t="shared" si="69"/>
        <v>0</v>
      </c>
      <c r="T150" s="3">
        <f t="shared" si="60"/>
        <v>232653978</v>
      </c>
      <c r="U150" s="3">
        <f t="shared" si="69"/>
        <v>232653978</v>
      </c>
      <c r="V150" s="6">
        <f t="shared" si="53"/>
        <v>100</v>
      </c>
    </row>
    <row r="151" spans="1:22" s="59" customFormat="1" ht="13.5" hidden="1">
      <c r="A151" s="58"/>
      <c r="B151" s="1"/>
      <c r="C151" s="1"/>
      <c r="D151" s="1" t="s">
        <v>145</v>
      </c>
      <c r="E151" s="1"/>
      <c r="F151" s="1"/>
      <c r="G151" s="29" t="s">
        <v>178</v>
      </c>
      <c r="H151" s="3">
        <f aca="true" t="shared" si="70" ref="H151:N151">SUM(H152:H153)</f>
        <v>0</v>
      </c>
      <c r="I151" s="3">
        <f t="shared" si="70"/>
        <v>0</v>
      </c>
      <c r="J151" s="3">
        <f t="shared" si="70"/>
        <v>0</v>
      </c>
      <c r="K151" s="3">
        <f t="shared" si="70"/>
        <v>0</v>
      </c>
      <c r="L151" s="3">
        <f t="shared" si="70"/>
        <v>0</v>
      </c>
      <c r="M151" s="3">
        <f t="shared" si="70"/>
        <v>0</v>
      </c>
      <c r="N151" s="3">
        <f t="shared" si="70"/>
        <v>0</v>
      </c>
      <c r="O151" s="3">
        <f t="shared" si="59"/>
        <v>0</v>
      </c>
      <c r="P151" s="3">
        <f aca="true" t="shared" si="71" ref="P151:U151">SUM(P152:P153)</f>
        <v>1</v>
      </c>
      <c r="Q151" s="3">
        <f t="shared" si="71"/>
        <v>2</v>
      </c>
      <c r="R151" s="3">
        <f t="shared" si="71"/>
        <v>3</v>
      </c>
      <c r="S151" s="3">
        <f t="shared" si="71"/>
        <v>4</v>
      </c>
      <c r="T151" s="3">
        <f t="shared" si="60"/>
        <v>10</v>
      </c>
      <c r="U151" s="3">
        <f t="shared" si="71"/>
        <v>6</v>
      </c>
      <c r="V151" s="6" t="e">
        <f t="shared" si="53"/>
        <v>#DIV/0!</v>
      </c>
    </row>
    <row r="152" spans="1:22" s="59" customFormat="1" ht="13.5" hidden="1">
      <c r="A152" s="58"/>
      <c r="B152" s="2"/>
      <c r="C152" s="2"/>
      <c r="D152" s="2" t="s">
        <v>145</v>
      </c>
      <c r="E152" s="2" t="s">
        <v>64</v>
      </c>
      <c r="F152" s="2" t="s">
        <v>21</v>
      </c>
      <c r="G152" s="26" t="s">
        <v>270</v>
      </c>
      <c r="H152" s="5">
        <v>0</v>
      </c>
      <c r="I152" s="5">
        <v>0</v>
      </c>
      <c r="J152" s="5">
        <f>H152+I152</f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f t="shared" si="59"/>
        <v>0</v>
      </c>
      <c r="P152" s="15">
        <v>1</v>
      </c>
      <c r="Q152" s="15">
        <v>2</v>
      </c>
      <c r="R152" s="15">
        <v>3</v>
      </c>
      <c r="S152" s="15">
        <v>4</v>
      </c>
      <c r="T152" s="15">
        <f t="shared" si="60"/>
        <v>10</v>
      </c>
      <c r="U152" s="15">
        <v>6</v>
      </c>
      <c r="V152" s="6" t="e">
        <f t="shared" si="53"/>
        <v>#DIV/0!</v>
      </c>
    </row>
    <row r="153" spans="1:22" s="59" customFormat="1" ht="13.5" hidden="1">
      <c r="A153" s="58"/>
      <c r="B153" s="2"/>
      <c r="C153" s="2"/>
      <c r="D153" s="2"/>
      <c r="E153" s="2"/>
      <c r="F153" s="2"/>
      <c r="G153" s="26"/>
      <c r="H153" s="5"/>
      <c r="I153" s="5"/>
      <c r="J153" s="5"/>
      <c r="K153" s="5"/>
      <c r="L153" s="5"/>
      <c r="M153" s="5"/>
      <c r="N153" s="5"/>
      <c r="O153" s="5">
        <f t="shared" si="59"/>
        <v>0</v>
      </c>
      <c r="P153" s="5"/>
      <c r="Q153" s="5"/>
      <c r="R153" s="5"/>
      <c r="S153" s="5"/>
      <c r="T153" s="5">
        <f t="shared" si="60"/>
        <v>0</v>
      </c>
      <c r="U153" s="5"/>
      <c r="V153" s="6" t="e">
        <f t="shared" si="53"/>
        <v>#DIV/0!</v>
      </c>
    </row>
    <row r="154" spans="1:22" s="59" customFormat="1" ht="13.5">
      <c r="A154" s="58"/>
      <c r="B154" s="1"/>
      <c r="C154" s="1"/>
      <c r="D154" s="1" t="s">
        <v>146</v>
      </c>
      <c r="E154" s="1"/>
      <c r="F154" s="1"/>
      <c r="G154" s="29" t="s">
        <v>180</v>
      </c>
      <c r="H154" s="3">
        <f aca="true" t="shared" si="72" ref="H154:M154">SUM(H155:H158)</f>
        <v>0</v>
      </c>
      <c r="I154" s="3">
        <f t="shared" si="72"/>
        <v>232653978</v>
      </c>
      <c r="J154" s="3">
        <f t="shared" si="72"/>
        <v>232653978</v>
      </c>
      <c r="K154" s="3">
        <f>SUM(K155:K158)</f>
        <v>0</v>
      </c>
      <c r="L154" s="3">
        <f t="shared" si="72"/>
        <v>0</v>
      </c>
      <c r="M154" s="3">
        <f t="shared" si="72"/>
        <v>0</v>
      </c>
      <c r="N154" s="3">
        <f>+N155+N156+N157+N158</f>
        <v>232653978</v>
      </c>
      <c r="O154" s="3">
        <f t="shared" si="59"/>
        <v>232653978</v>
      </c>
      <c r="P154" s="3">
        <f aca="true" t="shared" si="73" ref="P154:U154">+P155+P156+P157+P158</f>
        <v>0</v>
      </c>
      <c r="Q154" s="3">
        <f t="shared" si="73"/>
        <v>0</v>
      </c>
      <c r="R154" s="3">
        <f t="shared" si="73"/>
        <v>0</v>
      </c>
      <c r="S154" s="3">
        <f t="shared" si="73"/>
        <v>0</v>
      </c>
      <c r="T154" s="3">
        <f t="shared" si="60"/>
        <v>232653978</v>
      </c>
      <c r="U154" s="3">
        <f t="shared" si="73"/>
        <v>232653978</v>
      </c>
      <c r="V154" s="6">
        <f t="shared" si="53"/>
        <v>100</v>
      </c>
    </row>
    <row r="155" spans="1:22" s="59" customFormat="1" ht="13.5">
      <c r="A155" s="58"/>
      <c r="B155" s="2"/>
      <c r="C155" s="2"/>
      <c r="D155" s="2" t="s">
        <v>146</v>
      </c>
      <c r="E155" s="2" t="s">
        <v>64</v>
      </c>
      <c r="F155" s="2" t="s">
        <v>55</v>
      </c>
      <c r="G155" s="26" t="s">
        <v>480</v>
      </c>
      <c r="H155" s="5">
        <v>0</v>
      </c>
      <c r="I155" s="5">
        <v>223820097</v>
      </c>
      <c r="J155" s="5">
        <f>H155+I155</f>
        <v>223820097</v>
      </c>
      <c r="K155" s="15">
        <v>0</v>
      </c>
      <c r="L155" s="15">
        <v>0</v>
      </c>
      <c r="M155" s="15">
        <v>0</v>
      </c>
      <c r="N155" s="5">
        <v>223820097</v>
      </c>
      <c r="O155" s="5">
        <f t="shared" si="59"/>
        <v>223820097</v>
      </c>
      <c r="P155" s="15">
        <v>0</v>
      </c>
      <c r="Q155" s="15">
        <v>0</v>
      </c>
      <c r="R155" s="331"/>
      <c r="S155" s="436"/>
      <c r="T155" s="436">
        <f t="shared" si="60"/>
        <v>223820097</v>
      </c>
      <c r="U155" s="15">
        <f>T155</f>
        <v>223820097</v>
      </c>
      <c r="V155" s="6">
        <f t="shared" si="53"/>
        <v>100</v>
      </c>
    </row>
    <row r="156" spans="1:22" s="59" customFormat="1" ht="13.5">
      <c r="A156" s="58"/>
      <c r="B156" s="2"/>
      <c r="C156" s="2"/>
      <c r="D156" s="2" t="s">
        <v>146</v>
      </c>
      <c r="E156" s="2" t="s">
        <v>64</v>
      </c>
      <c r="F156" s="2" t="s">
        <v>21</v>
      </c>
      <c r="G156" s="26" t="s">
        <v>486</v>
      </c>
      <c r="H156" s="5">
        <v>0</v>
      </c>
      <c r="I156" s="5">
        <v>8833881</v>
      </c>
      <c r="J156" s="5">
        <f>H156+I156</f>
        <v>8833881</v>
      </c>
      <c r="K156" s="15">
        <v>0</v>
      </c>
      <c r="L156" s="15">
        <v>0</v>
      </c>
      <c r="M156" s="15">
        <v>0</v>
      </c>
      <c r="N156" s="5">
        <v>8833881</v>
      </c>
      <c r="O156" s="5">
        <f t="shared" si="59"/>
        <v>8833881</v>
      </c>
      <c r="P156" s="15">
        <v>0</v>
      </c>
      <c r="Q156" s="15">
        <v>0</v>
      </c>
      <c r="R156" s="331"/>
      <c r="S156" s="436"/>
      <c r="T156" s="436">
        <f t="shared" si="60"/>
        <v>8833881</v>
      </c>
      <c r="U156" s="15">
        <f>T156</f>
        <v>8833881</v>
      </c>
      <c r="V156" s="6">
        <f t="shared" si="53"/>
        <v>100</v>
      </c>
    </row>
    <row r="157" spans="1:22" s="59" customFormat="1" ht="13.5">
      <c r="A157" s="58"/>
      <c r="B157" s="2"/>
      <c r="C157" s="2"/>
      <c r="D157" s="2" t="s">
        <v>146</v>
      </c>
      <c r="E157" s="2" t="s">
        <v>147</v>
      </c>
      <c r="F157" s="2" t="s">
        <v>32</v>
      </c>
      <c r="G157" s="26" t="s">
        <v>484</v>
      </c>
      <c r="H157" s="5">
        <v>0</v>
      </c>
      <c r="I157" s="5">
        <v>0</v>
      </c>
      <c r="J157" s="5">
        <f>H157+I157</f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f t="shared" si="59"/>
        <v>0</v>
      </c>
      <c r="P157" s="15">
        <v>0</v>
      </c>
      <c r="Q157" s="15">
        <v>0</v>
      </c>
      <c r="R157" s="331"/>
      <c r="S157" s="436"/>
      <c r="T157" s="436">
        <f t="shared" si="60"/>
        <v>0</v>
      </c>
      <c r="U157" s="15">
        <f>T157</f>
        <v>0</v>
      </c>
      <c r="V157" s="6">
        <v>0</v>
      </c>
    </row>
    <row r="158" spans="1:22" s="59" customFormat="1" ht="13.5">
      <c r="A158" s="58"/>
      <c r="B158" s="2"/>
      <c r="C158" s="2"/>
      <c r="D158" s="2" t="s">
        <v>146</v>
      </c>
      <c r="E158" s="2" t="s">
        <v>111</v>
      </c>
      <c r="F158" s="2" t="s">
        <v>32</v>
      </c>
      <c r="G158" s="26" t="s">
        <v>485</v>
      </c>
      <c r="H158" s="5">
        <v>0</v>
      </c>
      <c r="I158" s="5">
        <v>0</v>
      </c>
      <c r="J158" s="5">
        <f>H158+I158</f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f t="shared" si="59"/>
        <v>0</v>
      </c>
      <c r="P158" s="15">
        <v>0</v>
      </c>
      <c r="Q158" s="15">
        <v>0</v>
      </c>
      <c r="R158" s="331"/>
      <c r="S158" s="436"/>
      <c r="T158" s="436">
        <f t="shared" si="60"/>
        <v>0</v>
      </c>
      <c r="U158" s="15">
        <f>T158</f>
        <v>0</v>
      </c>
      <c r="V158" s="6">
        <v>0</v>
      </c>
    </row>
    <row r="159" spans="1:22" s="165" customFormat="1" ht="20.25">
      <c r="A159" s="150"/>
      <c r="B159" s="31"/>
      <c r="C159" s="31"/>
      <c r="D159" s="32"/>
      <c r="E159" s="32"/>
      <c r="F159" s="32"/>
      <c r="G159" s="69" t="s">
        <v>85</v>
      </c>
      <c r="H159" s="52">
        <f aca="true" t="shared" si="74" ref="H159:U159">H9+H121+H140</f>
        <v>3822599423</v>
      </c>
      <c r="I159" s="52">
        <f t="shared" si="74"/>
        <v>232653978</v>
      </c>
      <c r="J159" s="52">
        <f t="shared" si="74"/>
        <v>4055253401</v>
      </c>
      <c r="K159" s="52">
        <f t="shared" si="74"/>
        <v>331716165</v>
      </c>
      <c r="L159" s="52">
        <f t="shared" si="74"/>
        <v>74047685</v>
      </c>
      <c r="M159" s="52">
        <f t="shared" si="74"/>
        <v>753146560</v>
      </c>
      <c r="N159" s="52">
        <f t="shared" si="74"/>
        <v>311229805</v>
      </c>
      <c r="O159" s="52">
        <f t="shared" si="74"/>
        <v>1470140215</v>
      </c>
      <c r="P159" s="52">
        <f t="shared" si="74"/>
        <v>346559585</v>
      </c>
      <c r="Q159" s="52">
        <f>Q9+Q121+Q140</f>
        <v>8831284</v>
      </c>
      <c r="R159" s="52">
        <f>R9+R121+R140</f>
        <v>756626122</v>
      </c>
      <c r="S159" s="52">
        <f>S9+S121+S140</f>
        <v>256320040</v>
      </c>
      <c r="T159" s="52">
        <f>T9+T121+T140</f>
        <v>2838477246</v>
      </c>
      <c r="U159" s="52">
        <f t="shared" si="74"/>
        <v>2838477246</v>
      </c>
      <c r="V159" s="53">
        <f>U159*100/J159</f>
        <v>69.99506480408967</v>
      </c>
    </row>
    <row r="160" spans="1:21" s="493" customFormat="1" ht="12.75">
      <c r="A160" s="490"/>
      <c r="B160" s="491"/>
      <c r="C160" s="491"/>
      <c r="D160" s="491"/>
      <c r="E160" s="491"/>
      <c r="F160" s="491"/>
      <c r="G160" s="497"/>
      <c r="Q160" s="498">
        <f>+O159+P159+Q159</f>
        <v>1825531084</v>
      </c>
      <c r="R160" s="493">
        <f>62406806+478238535+215980781</f>
        <v>756626122</v>
      </c>
      <c r="S160" s="499">
        <f>96345381+19986955+139987704</f>
        <v>256320040</v>
      </c>
      <c r="U160" s="500"/>
    </row>
    <row r="161" spans="1:21" s="493" customFormat="1" ht="12.75">
      <c r="A161" s="490"/>
      <c r="B161" s="491"/>
      <c r="C161" s="491"/>
      <c r="D161" s="491"/>
      <c r="E161" s="491"/>
      <c r="F161" s="491"/>
      <c r="G161" s="497"/>
      <c r="Q161" s="498">
        <f>+Q160-1825531084</f>
        <v>0</v>
      </c>
      <c r="R161" s="498">
        <f>+R159-R160</f>
        <v>0</v>
      </c>
      <c r="S161" s="499"/>
      <c r="U161" s="494"/>
    </row>
    <row r="163" spans="3:26" s="65" customFormat="1" ht="12.75">
      <c r="C163" s="12"/>
      <c r="D163" s="12"/>
      <c r="E163" s="12"/>
      <c r="F163" s="12"/>
      <c r="G163" s="126"/>
      <c r="H163" s="12"/>
      <c r="I163" s="12"/>
      <c r="J163" s="573"/>
      <c r="K163" s="573"/>
      <c r="S163" s="416"/>
      <c r="U163" s="278"/>
      <c r="V163" s="278"/>
      <c r="W163" s="278"/>
      <c r="X163" s="73"/>
      <c r="Y163" s="278"/>
      <c r="Z163" s="279"/>
    </row>
    <row r="164" spans="2:22" s="263" customFormat="1" ht="15.75">
      <c r="B164" s="518" t="s">
        <v>509</v>
      </c>
      <c r="C164" s="518"/>
      <c r="D164" s="518"/>
      <c r="E164" s="518"/>
      <c r="F164" s="518"/>
      <c r="G164" s="518"/>
      <c r="H164" s="518" t="s">
        <v>517</v>
      </c>
      <c r="I164" s="518"/>
      <c r="J164" s="518"/>
      <c r="K164" s="518"/>
      <c r="L164" s="518"/>
      <c r="M164" s="518"/>
      <c r="N164" s="518"/>
      <c r="O164" s="518"/>
      <c r="P164" s="518"/>
      <c r="Q164" s="518"/>
      <c r="R164" s="518"/>
      <c r="S164" s="518"/>
      <c r="T164" s="527" t="s">
        <v>541</v>
      </c>
      <c r="U164" s="527"/>
      <c r="V164" s="527"/>
    </row>
    <row r="165" spans="2:22" s="258" customFormat="1" ht="15">
      <c r="B165" s="522" t="s">
        <v>498</v>
      </c>
      <c r="C165" s="522"/>
      <c r="D165" s="522"/>
      <c r="E165" s="522"/>
      <c r="F165" s="522"/>
      <c r="G165" s="522"/>
      <c r="H165" s="522" t="s">
        <v>477</v>
      </c>
      <c r="I165" s="522"/>
      <c r="J165" s="522"/>
      <c r="K165" s="522"/>
      <c r="L165" s="522"/>
      <c r="M165" s="522"/>
      <c r="N165" s="522"/>
      <c r="O165" s="522"/>
      <c r="P165" s="522"/>
      <c r="Q165" s="522"/>
      <c r="R165" s="522"/>
      <c r="S165" s="522"/>
      <c r="T165" s="522" t="s">
        <v>473</v>
      </c>
      <c r="U165" s="522"/>
      <c r="V165" s="522"/>
    </row>
    <row r="166" spans="21:24" ht="12.75">
      <c r="U166" s="11"/>
      <c r="X166" s="72"/>
    </row>
    <row r="167" spans="15:24" ht="12.75">
      <c r="O167" s="443"/>
      <c r="U167" s="11"/>
      <c r="X167" s="72"/>
    </row>
    <row r="168" spans="15:24" ht="12.75">
      <c r="O168" s="499">
        <v>1825531084</v>
      </c>
      <c r="U168" s="11"/>
      <c r="X168" s="72"/>
    </row>
    <row r="169" spans="15:24" ht="12.75">
      <c r="O169" s="499">
        <f>+R159</f>
        <v>756626122</v>
      </c>
      <c r="U169" s="11"/>
      <c r="X169" s="72"/>
    </row>
    <row r="170" spans="15:24" ht="12.75">
      <c r="O170" s="499">
        <f>+S159</f>
        <v>256320040</v>
      </c>
      <c r="U170" s="11"/>
      <c r="X170" s="72"/>
    </row>
    <row r="171" spans="15:24" ht="12.75">
      <c r="O171" s="499">
        <f>+O168+O169+O170</f>
        <v>2838477246</v>
      </c>
      <c r="P171" s="496"/>
      <c r="U171" s="11"/>
      <c r="X171" s="72"/>
    </row>
    <row r="172" ht="12.75">
      <c r="O172" s="496"/>
    </row>
  </sheetData>
  <sheetProtection/>
  <mergeCells count="19">
    <mergeCell ref="U3:V3"/>
    <mergeCell ref="B6:F6"/>
    <mergeCell ref="H6:H7"/>
    <mergeCell ref="V6:V7"/>
    <mergeCell ref="U6:U7"/>
    <mergeCell ref="J6:J7"/>
    <mergeCell ref="G6:G7"/>
    <mergeCell ref="K6:N6"/>
    <mergeCell ref="T6:T7"/>
    <mergeCell ref="T164:V164"/>
    <mergeCell ref="B165:G165"/>
    <mergeCell ref="H165:S165"/>
    <mergeCell ref="T165:V165"/>
    <mergeCell ref="B4:C4"/>
    <mergeCell ref="E4:F4"/>
    <mergeCell ref="I6:I7"/>
    <mergeCell ref="J163:K163"/>
    <mergeCell ref="B164:G164"/>
    <mergeCell ref="H164:S164"/>
  </mergeCells>
  <printOptions/>
  <pageMargins left="0.9055118110236221" right="0.5905511811023623" top="0.1968503937007874" bottom="0.7874015748031497" header="0" footer="0.2362204724409449"/>
  <pageSetup horizontalDpi="600" verticalDpi="600" orientation="landscape" paperSize="190" scale="68" r:id="rId1"/>
  <headerFooter alignWithMargins="0"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2:AB171"/>
  <sheetViews>
    <sheetView zoomScalePageLayoutView="0" workbookViewId="0" topLeftCell="J6">
      <selection activeCell="O164" sqref="O164"/>
    </sheetView>
  </sheetViews>
  <sheetFormatPr defaultColWidth="11.421875" defaultRowHeight="12.75"/>
  <cols>
    <col min="1" max="1" width="5.57421875" style="124" customWidth="1"/>
    <col min="2" max="2" width="5.140625" style="56" customWidth="1"/>
    <col min="3" max="3" width="4.8515625" style="56" customWidth="1"/>
    <col min="4" max="4" width="4.8515625" style="56" bestFit="1" customWidth="1"/>
    <col min="5" max="6" width="3.57421875" style="56" bestFit="1" customWidth="1"/>
    <col min="7" max="7" width="51.421875" style="71" customWidth="1"/>
    <col min="8" max="8" width="12.28125" style="11" customWidth="1"/>
    <col min="9" max="9" width="14.00390625" style="11" customWidth="1"/>
    <col min="10" max="10" width="12.28125" style="11" customWidth="1"/>
    <col min="11" max="11" width="8.57421875" style="11" hidden="1" customWidth="1"/>
    <col min="12" max="12" width="10.140625" style="11" hidden="1" customWidth="1"/>
    <col min="13" max="13" width="11.7109375" style="11" hidden="1" customWidth="1"/>
    <col min="14" max="14" width="13.8515625" style="11" hidden="1" customWidth="1"/>
    <col min="15" max="15" width="13.8515625" style="11" customWidth="1"/>
    <col min="16" max="19" width="11.7109375" style="11" customWidth="1"/>
    <col min="20" max="20" width="14.8515625" style="11" customWidth="1"/>
    <col min="21" max="21" width="13.00390625" style="63" customWidth="1"/>
    <col min="22" max="22" width="4.8515625" style="11" customWidth="1"/>
    <col min="23" max="23" width="3.00390625" style="11" customWidth="1"/>
    <col min="24" max="16384" width="11.421875" style="11" customWidth="1"/>
  </cols>
  <sheetData>
    <row r="2" spans="2:27" s="12" customFormat="1" ht="12.75">
      <c r="B2" s="73"/>
      <c r="C2" s="73"/>
      <c r="D2" s="73"/>
      <c r="E2" s="73"/>
      <c r="F2" s="73"/>
      <c r="G2" s="74"/>
      <c r="AA2" s="63"/>
    </row>
    <row r="3" spans="2:28" s="12" customFormat="1" ht="12.75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</row>
    <row r="4" spans="2:22" s="12" customFormat="1" ht="13.5">
      <c r="B4" s="127"/>
      <c r="C4" s="127"/>
      <c r="D4" s="127"/>
      <c r="E4" s="127"/>
      <c r="F4" s="127"/>
      <c r="G4" s="149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48"/>
    </row>
    <row r="5" spans="2:22" s="245" customFormat="1" ht="24">
      <c r="B5" s="249" t="s">
        <v>474</v>
      </c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7"/>
    </row>
    <row r="6" spans="2:22" s="248" customFormat="1" ht="18">
      <c r="B6" s="166" t="s">
        <v>524</v>
      </c>
      <c r="C6" s="167"/>
      <c r="D6" s="167"/>
      <c r="E6" s="167"/>
      <c r="F6" s="167"/>
      <c r="G6" s="167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574"/>
      <c r="V6" s="575"/>
    </row>
    <row r="7" spans="2:22" s="73" customFormat="1" ht="13.5">
      <c r="B7" s="568" t="s">
        <v>282</v>
      </c>
      <c r="C7" s="569"/>
      <c r="D7" s="49">
        <v>30</v>
      </c>
      <c r="E7" s="570" t="s">
        <v>281</v>
      </c>
      <c r="F7" s="570"/>
      <c r="G7" s="92" t="str">
        <f>'ING.MATRIZ'!G4</f>
        <v>235 MUNICIPALIDAD DE CARMELO PERALTA</v>
      </c>
      <c r="H7" s="293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151" t="s">
        <v>290</v>
      </c>
      <c r="V7" s="152"/>
    </row>
    <row r="8" spans="2:22" s="153" customFormat="1" ht="3.75">
      <c r="B8" s="154"/>
      <c r="C8" s="155"/>
      <c r="D8" s="155"/>
      <c r="E8" s="155"/>
      <c r="F8" s="155"/>
      <c r="G8" s="156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7"/>
    </row>
    <row r="9" spans="1:22" s="56" customFormat="1" ht="15" customHeight="1">
      <c r="A9" s="55"/>
      <c r="B9" s="576" t="s">
        <v>11</v>
      </c>
      <c r="C9" s="577"/>
      <c r="D9" s="577"/>
      <c r="E9" s="577"/>
      <c r="F9" s="578"/>
      <c r="G9" s="588" t="s">
        <v>12</v>
      </c>
      <c r="H9" s="571" t="s">
        <v>230</v>
      </c>
      <c r="I9" s="571" t="s">
        <v>243</v>
      </c>
      <c r="J9" s="571" t="s">
        <v>223</v>
      </c>
      <c r="K9" s="585" t="s">
        <v>247</v>
      </c>
      <c r="L9" s="585"/>
      <c r="M9" s="585"/>
      <c r="N9" s="585"/>
      <c r="O9" s="586" t="s">
        <v>565</v>
      </c>
      <c r="P9" s="590" t="s">
        <v>247</v>
      </c>
      <c r="Q9" s="591"/>
      <c r="R9" s="591"/>
      <c r="S9" s="592"/>
      <c r="T9" s="571" t="s">
        <v>239</v>
      </c>
      <c r="U9" s="571" t="s">
        <v>240</v>
      </c>
      <c r="V9" s="579" t="s">
        <v>13</v>
      </c>
    </row>
    <row r="10" spans="1:22" s="56" customFormat="1" ht="22.5">
      <c r="A10" s="57"/>
      <c r="B10" s="238" t="s">
        <v>288</v>
      </c>
      <c r="C10" s="238" t="s">
        <v>160</v>
      </c>
      <c r="D10" s="238" t="s">
        <v>289</v>
      </c>
      <c r="E10" s="238" t="s">
        <v>83</v>
      </c>
      <c r="F10" s="238" t="s">
        <v>84</v>
      </c>
      <c r="G10" s="589"/>
      <c r="H10" s="572"/>
      <c r="I10" s="572"/>
      <c r="J10" s="572"/>
      <c r="K10" s="54">
        <v>40909</v>
      </c>
      <c r="L10" s="54">
        <v>40940</v>
      </c>
      <c r="M10" s="54">
        <v>40969</v>
      </c>
      <c r="N10" s="54">
        <v>41000</v>
      </c>
      <c r="O10" s="587"/>
      <c r="P10" s="54">
        <v>41030</v>
      </c>
      <c r="Q10" s="54">
        <v>41061</v>
      </c>
      <c r="R10" s="54">
        <v>41091</v>
      </c>
      <c r="S10" s="54">
        <v>41122</v>
      </c>
      <c r="T10" s="572"/>
      <c r="U10" s="572"/>
      <c r="V10" s="580"/>
    </row>
    <row r="11" spans="1:22" s="165" customFormat="1" ht="24">
      <c r="A11" s="245"/>
      <c r="B11" s="31"/>
      <c r="C11" s="31"/>
      <c r="D11" s="32"/>
      <c r="E11" s="32"/>
      <c r="F11" s="32"/>
      <c r="G11" s="51" t="s">
        <v>85</v>
      </c>
      <c r="H11" s="52">
        <f>H12+H128+H147</f>
        <v>742822888</v>
      </c>
      <c r="I11" s="52">
        <f aca="true" t="shared" si="0" ref="I11:U11">I12+I128+I147</f>
        <v>223820097</v>
      </c>
      <c r="J11" s="52">
        <f t="shared" si="0"/>
        <v>966642985</v>
      </c>
      <c r="K11" s="52">
        <f t="shared" si="0"/>
        <v>0</v>
      </c>
      <c r="L11" s="52">
        <f t="shared" si="0"/>
        <v>0</v>
      </c>
      <c r="M11" s="52">
        <f t="shared" si="0"/>
        <v>107318582</v>
      </c>
      <c r="N11" s="52">
        <f t="shared" si="0"/>
        <v>223820097</v>
      </c>
      <c r="O11" s="52">
        <f>+K11+L11+M11+N11</f>
        <v>331138679</v>
      </c>
      <c r="P11" s="52">
        <f t="shared" si="0"/>
        <v>0</v>
      </c>
      <c r="Q11" s="52">
        <f t="shared" si="0"/>
        <v>0</v>
      </c>
      <c r="R11" s="52">
        <f t="shared" si="0"/>
        <v>215980781</v>
      </c>
      <c r="S11" s="52">
        <f t="shared" si="0"/>
        <v>19986955</v>
      </c>
      <c r="T11" s="52">
        <f t="shared" si="0"/>
        <v>567106415</v>
      </c>
      <c r="U11" s="52">
        <f t="shared" si="0"/>
        <v>567106415</v>
      </c>
      <c r="V11" s="53">
        <f>U11*100/J11</f>
        <v>58.66761811756178</v>
      </c>
    </row>
    <row r="12" spans="1:22" s="12" customFormat="1" ht="17.25">
      <c r="A12" s="33"/>
      <c r="B12" s="9">
        <f>'ING.MATRIZ'!B9</f>
        <v>100</v>
      </c>
      <c r="C12" s="9"/>
      <c r="D12" s="10"/>
      <c r="E12" s="10"/>
      <c r="F12" s="10"/>
      <c r="G12" s="37" t="str">
        <f>'ING.MATRIZ'!G9</f>
        <v>INGRESOS CORRIENTES</v>
      </c>
      <c r="H12" s="34">
        <f>+H86</f>
        <v>212235111</v>
      </c>
      <c r="I12" s="34">
        <f aca="true" t="shared" si="1" ref="I12:U12">+I86</f>
        <v>10611755</v>
      </c>
      <c r="J12" s="34">
        <f t="shared" si="1"/>
        <v>222846866</v>
      </c>
      <c r="K12" s="34">
        <f t="shared" si="1"/>
        <v>0</v>
      </c>
      <c r="L12" s="34">
        <f t="shared" si="1"/>
        <v>0</v>
      </c>
      <c r="M12" s="34">
        <f t="shared" si="1"/>
        <v>32195574</v>
      </c>
      <c r="N12" s="34">
        <f t="shared" si="1"/>
        <v>0</v>
      </c>
      <c r="O12" s="34">
        <f aca="true" t="shared" si="2" ref="O12:O75">+K12+L12+M12+N12</f>
        <v>32195574</v>
      </c>
      <c r="P12" s="34">
        <f t="shared" si="1"/>
        <v>0</v>
      </c>
      <c r="Q12" s="34">
        <f t="shared" si="1"/>
        <v>0</v>
      </c>
      <c r="R12" s="34">
        <f t="shared" si="1"/>
        <v>64794234</v>
      </c>
      <c r="S12" s="34">
        <f t="shared" si="1"/>
        <v>5996087</v>
      </c>
      <c r="T12" s="34">
        <f t="shared" si="1"/>
        <v>102985895</v>
      </c>
      <c r="U12" s="34">
        <f t="shared" si="1"/>
        <v>102985895</v>
      </c>
      <c r="V12" s="36">
        <f>U12*100/J12</f>
        <v>46.213750656919714</v>
      </c>
    </row>
    <row r="13" spans="1:22" s="59" customFormat="1" ht="18.75" customHeight="1" hidden="1">
      <c r="A13" s="260"/>
      <c r="B13" s="1"/>
      <c r="C13" s="1">
        <f>'ING.MATRIZ'!C10</f>
        <v>110</v>
      </c>
      <c r="D13" s="2"/>
      <c r="E13" s="2"/>
      <c r="F13" s="2"/>
      <c r="G13" s="13" t="str">
        <f>'ING.MATRIZ'!G10</f>
        <v>INGRESOS TRIBUTARIOS</v>
      </c>
      <c r="H13" s="4">
        <f>H14+H24+H39</f>
        <v>0</v>
      </c>
      <c r="I13" s="4">
        <f aca="true" t="shared" si="3" ref="I13:U13">I14+I24+I39</f>
        <v>0</v>
      </c>
      <c r="J13" s="4">
        <f t="shared" si="3"/>
        <v>0</v>
      </c>
      <c r="K13" s="4">
        <f t="shared" si="3"/>
        <v>0</v>
      </c>
      <c r="L13" s="4">
        <f t="shared" si="3"/>
        <v>0</v>
      </c>
      <c r="M13" s="4">
        <f t="shared" si="3"/>
        <v>0</v>
      </c>
      <c r="N13" s="4">
        <f t="shared" si="3"/>
        <v>0</v>
      </c>
      <c r="O13" s="4">
        <f t="shared" si="2"/>
        <v>0</v>
      </c>
      <c r="P13" s="4">
        <f t="shared" si="3"/>
        <v>0</v>
      </c>
      <c r="Q13" s="4">
        <f t="shared" si="3"/>
        <v>0</v>
      </c>
      <c r="R13" s="4">
        <f t="shared" si="3"/>
        <v>0</v>
      </c>
      <c r="S13" s="4">
        <f t="shared" si="3"/>
        <v>0</v>
      </c>
      <c r="T13" s="4">
        <f t="shared" si="3"/>
        <v>0</v>
      </c>
      <c r="U13" s="4">
        <f t="shared" si="3"/>
        <v>0</v>
      </c>
      <c r="V13" s="6" t="e">
        <f>U13*100/J13</f>
        <v>#DIV/0!</v>
      </c>
    </row>
    <row r="14" spans="1:22" s="59" customFormat="1" ht="18.75" customHeight="1" hidden="1">
      <c r="A14" s="260"/>
      <c r="B14" s="1"/>
      <c r="C14" s="1"/>
      <c r="D14" s="1">
        <f>'ING.MATRIZ'!D11</f>
        <v>112</v>
      </c>
      <c r="E14" s="1"/>
      <c r="F14" s="1"/>
      <c r="G14" s="13" t="str">
        <f>'ING.MATRIZ'!G11</f>
        <v>Impuesto sobre la Propiedad</v>
      </c>
      <c r="H14" s="4">
        <f>SUM(H15:H22)</f>
        <v>0</v>
      </c>
      <c r="I14" s="4">
        <f aca="true" t="shared" si="4" ref="I14:U14">SUM(I15:I22)</f>
        <v>0</v>
      </c>
      <c r="J14" s="4">
        <f t="shared" si="4"/>
        <v>0</v>
      </c>
      <c r="K14" s="4">
        <f t="shared" si="4"/>
        <v>0</v>
      </c>
      <c r="L14" s="4">
        <f t="shared" si="4"/>
        <v>0</v>
      </c>
      <c r="M14" s="4">
        <f t="shared" si="4"/>
        <v>0</v>
      </c>
      <c r="N14" s="4">
        <f t="shared" si="4"/>
        <v>0</v>
      </c>
      <c r="O14" s="4">
        <f t="shared" si="2"/>
        <v>0</v>
      </c>
      <c r="P14" s="4">
        <f t="shared" si="4"/>
        <v>0</v>
      </c>
      <c r="Q14" s="4">
        <f t="shared" si="4"/>
        <v>0</v>
      </c>
      <c r="R14" s="4">
        <f t="shared" si="4"/>
        <v>0</v>
      </c>
      <c r="S14" s="4">
        <f t="shared" si="4"/>
        <v>0</v>
      </c>
      <c r="T14" s="4">
        <f t="shared" si="4"/>
        <v>0</v>
      </c>
      <c r="U14" s="4">
        <f t="shared" si="4"/>
        <v>0</v>
      </c>
      <c r="V14" s="6" t="e">
        <f>U14*100/J14</f>
        <v>#DIV/0!</v>
      </c>
    </row>
    <row r="15" spans="1:22" s="59" customFormat="1" ht="18.75" customHeight="1" hidden="1">
      <c r="A15" s="260"/>
      <c r="B15" s="1"/>
      <c r="C15" s="1"/>
      <c r="D15" s="2"/>
      <c r="E15" s="2"/>
      <c r="F15" s="2"/>
      <c r="G15" s="14"/>
      <c r="H15" s="15"/>
      <c r="I15" s="15"/>
      <c r="J15" s="15"/>
      <c r="K15" s="15"/>
      <c r="L15" s="15"/>
      <c r="M15" s="15"/>
      <c r="N15" s="15"/>
      <c r="O15" s="15">
        <f t="shared" si="2"/>
        <v>0</v>
      </c>
      <c r="P15" s="15"/>
      <c r="Q15" s="15"/>
      <c r="R15" s="15"/>
      <c r="S15" s="15"/>
      <c r="T15" s="15"/>
      <c r="U15" s="15"/>
      <c r="V15" s="6"/>
    </row>
    <row r="16" spans="1:22" s="59" customFormat="1" ht="18.75" customHeight="1" hidden="1">
      <c r="A16" s="260"/>
      <c r="B16" s="1"/>
      <c r="C16" s="1"/>
      <c r="D16" s="2"/>
      <c r="E16" s="2"/>
      <c r="F16" s="2"/>
      <c r="G16" s="14"/>
      <c r="H16" s="15"/>
      <c r="I16" s="15"/>
      <c r="J16" s="15"/>
      <c r="K16" s="15"/>
      <c r="L16" s="15"/>
      <c r="M16" s="15"/>
      <c r="N16" s="15"/>
      <c r="O16" s="15">
        <f t="shared" si="2"/>
        <v>0</v>
      </c>
      <c r="P16" s="15"/>
      <c r="Q16" s="15"/>
      <c r="R16" s="15"/>
      <c r="S16" s="15"/>
      <c r="T16" s="15"/>
      <c r="U16" s="15"/>
      <c r="V16" s="6"/>
    </row>
    <row r="17" spans="1:22" s="59" customFormat="1" ht="18.75" customHeight="1" hidden="1">
      <c r="A17" s="260"/>
      <c r="B17" s="1"/>
      <c r="C17" s="1"/>
      <c r="D17" s="2"/>
      <c r="E17" s="2"/>
      <c r="F17" s="2"/>
      <c r="G17" s="14"/>
      <c r="H17" s="15"/>
      <c r="I17" s="15"/>
      <c r="J17" s="15"/>
      <c r="K17" s="15"/>
      <c r="L17" s="15"/>
      <c r="M17" s="15"/>
      <c r="N17" s="15"/>
      <c r="O17" s="15">
        <f t="shared" si="2"/>
        <v>0</v>
      </c>
      <c r="P17" s="15"/>
      <c r="Q17" s="15"/>
      <c r="R17" s="15"/>
      <c r="S17" s="15"/>
      <c r="T17" s="15"/>
      <c r="U17" s="15"/>
      <c r="V17" s="6"/>
    </row>
    <row r="18" spans="1:22" s="59" customFormat="1" ht="18.75" customHeight="1" hidden="1">
      <c r="A18" s="260"/>
      <c r="B18" s="1"/>
      <c r="C18" s="1"/>
      <c r="D18" s="2"/>
      <c r="E18" s="2"/>
      <c r="F18" s="2"/>
      <c r="G18" s="14"/>
      <c r="H18" s="15"/>
      <c r="I18" s="15"/>
      <c r="J18" s="15"/>
      <c r="K18" s="15"/>
      <c r="L18" s="15"/>
      <c r="M18" s="15"/>
      <c r="N18" s="15"/>
      <c r="O18" s="15">
        <f t="shared" si="2"/>
        <v>0</v>
      </c>
      <c r="P18" s="15"/>
      <c r="Q18" s="15"/>
      <c r="R18" s="15"/>
      <c r="S18" s="15"/>
      <c r="T18" s="15"/>
      <c r="U18" s="15"/>
      <c r="V18" s="6"/>
    </row>
    <row r="19" spans="1:22" s="59" customFormat="1" ht="18.75" customHeight="1" hidden="1">
      <c r="A19" s="260"/>
      <c r="B19" s="1"/>
      <c r="C19" s="1"/>
      <c r="D19" s="2"/>
      <c r="E19" s="2"/>
      <c r="F19" s="2"/>
      <c r="G19" s="14"/>
      <c r="H19" s="15"/>
      <c r="I19" s="15"/>
      <c r="J19" s="15"/>
      <c r="K19" s="15"/>
      <c r="L19" s="15"/>
      <c r="M19" s="15"/>
      <c r="N19" s="15"/>
      <c r="O19" s="15">
        <f t="shared" si="2"/>
        <v>0</v>
      </c>
      <c r="P19" s="15"/>
      <c r="Q19" s="15"/>
      <c r="R19" s="15"/>
      <c r="S19" s="15"/>
      <c r="T19" s="15"/>
      <c r="U19" s="15"/>
      <c r="V19" s="6"/>
    </row>
    <row r="20" spans="1:22" s="59" customFormat="1" ht="18.75" customHeight="1" hidden="1">
      <c r="A20" s="260"/>
      <c r="B20" s="1"/>
      <c r="C20" s="1"/>
      <c r="D20" s="2"/>
      <c r="E20" s="2"/>
      <c r="F20" s="2"/>
      <c r="G20" s="14"/>
      <c r="H20" s="15"/>
      <c r="I20" s="15"/>
      <c r="J20" s="15"/>
      <c r="K20" s="15"/>
      <c r="L20" s="15"/>
      <c r="M20" s="15"/>
      <c r="N20" s="15"/>
      <c r="O20" s="15">
        <f t="shared" si="2"/>
        <v>0</v>
      </c>
      <c r="P20" s="15"/>
      <c r="Q20" s="15"/>
      <c r="R20" s="15"/>
      <c r="S20" s="15"/>
      <c r="T20" s="15"/>
      <c r="U20" s="15"/>
      <c r="V20" s="6"/>
    </row>
    <row r="21" spans="1:22" s="59" customFormat="1" ht="18.75" customHeight="1" hidden="1">
      <c r="A21" s="260"/>
      <c r="B21" s="1"/>
      <c r="C21" s="1"/>
      <c r="D21" s="2"/>
      <c r="E21" s="2"/>
      <c r="F21" s="2"/>
      <c r="G21" s="14"/>
      <c r="H21" s="15"/>
      <c r="I21" s="15"/>
      <c r="J21" s="15"/>
      <c r="K21" s="15"/>
      <c r="L21" s="15"/>
      <c r="M21" s="15"/>
      <c r="N21" s="15"/>
      <c r="O21" s="15">
        <f t="shared" si="2"/>
        <v>0</v>
      </c>
      <c r="P21" s="15"/>
      <c r="Q21" s="15"/>
      <c r="R21" s="15"/>
      <c r="S21" s="15"/>
      <c r="T21" s="15"/>
      <c r="U21" s="15"/>
      <c r="V21" s="6"/>
    </row>
    <row r="22" spans="1:22" s="59" customFormat="1" ht="18.75" customHeight="1" hidden="1">
      <c r="A22" s="260"/>
      <c r="B22" s="1"/>
      <c r="C22" s="1"/>
      <c r="D22" s="2"/>
      <c r="E22" s="2"/>
      <c r="F22" s="2"/>
      <c r="G22" s="14"/>
      <c r="H22" s="15"/>
      <c r="I22" s="15"/>
      <c r="J22" s="15"/>
      <c r="K22" s="15"/>
      <c r="L22" s="15"/>
      <c r="M22" s="15"/>
      <c r="N22" s="15"/>
      <c r="O22" s="15">
        <f t="shared" si="2"/>
        <v>0</v>
      </c>
      <c r="P22" s="15"/>
      <c r="Q22" s="15"/>
      <c r="R22" s="15"/>
      <c r="S22" s="15"/>
      <c r="T22" s="15"/>
      <c r="U22" s="15"/>
      <c r="V22" s="6"/>
    </row>
    <row r="23" spans="1:22" s="60" customFormat="1" ht="18.75" customHeight="1" hidden="1">
      <c r="A23" s="260"/>
      <c r="B23" s="16"/>
      <c r="C23" s="16"/>
      <c r="D23" s="17"/>
      <c r="E23" s="17"/>
      <c r="F23" s="17"/>
      <c r="G23" s="18"/>
      <c r="H23" s="19"/>
      <c r="I23" s="19"/>
      <c r="J23" s="19"/>
      <c r="K23" s="19"/>
      <c r="L23" s="19"/>
      <c r="M23" s="19"/>
      <c r="N23" s="19"/>
      <c r="O23" s="19">
        <f t="shared" si="2"/>
        <v>0</v>
      </c>
      <c r="P23" s="19"/>
      <c r="Q23" s="19"/>
      <c r="R23" s="19"/>
      <c r="S23" s="19"/>
      <c r="T23" s="19"/>
      <c r="U23" s="19"/>
      <c r="V23" s="22"/>
    </row>
    <row r="24" spans="1:22" s="59" customFormat="1" ht="18.75" customHeight="1" hidden="1">
      <c r="A24" s="260"/>
      <c r="B24" s="1"/>
      <c r="C24" s="1"/>
      <c r="D24" s="1">
        <f>'ING.MATRIZ'!D21</f>
        <v>113</v>
      </c>
      <c r="E24" s="1"/>
      <c r="F24" s="1"/>
      <c r="G24" s="13" t="str">
        <f>'ING.MATRIZ'!G21</f>
        <v>Impuestos Internos sobre Bienes y Servicios</v>
      </c>
      <c r="H24" s="4">
        <f>SUM(H25:H38)</f>
        <v>0</v>
      </c>
      <c r="I24" s="4">
        <f aca="true" t="shared" si="5" ref="I24:U24">SUM(I25:I38)</f>
        <v>0</v>
      </c>
      <c r="J24" s="4">
        <f t="shared" si="5"/>
        <v>0</v>
      </c>
      <c r="K24" s="4">
        <f t="shared" si="5"/>
        <v>0</v>
      </c>
      <c r="L24" s="4">
        <f t="shared" si="5"/>
        <v>0</v>
      </c>
      <c r="M24" s="4">
        <f t="shared" si="5"/>
        <v>0</v>
      </c>
      <c r="N24" s="4">
        <f t="shared" si="5"/>
        <v>0</v>
      </c>
      <c r="O24" s="4">
        <f t="shared" si="2"/>
        <v>0</v>
      </c>
      <c r="P24" s="4">
        <f t="shared" si="5"/>
        <v>0</v>
      </c>
      <c r="Q24" s="4">
        <f t="shared" si="5"/>
        <v>0</v>
      </c>
      <c r="R24" s="4">
        <f t="shared" si="5"/>
        <v>0</v>
      </c>
      <c r="S24" s="4">
        <f t="shared" si="5"/>
        <v>0</v>
      </c>
      <c r="T24" s="4">
        <f t="shared" si="5"/>
        <v>0</v>
      </c>
      <c r="U24" s="4">
        <f t="shared" si="5"/>
        <v>0</v>
      </c>
      <c r="V24" s="6" t="e">
        <f>U24*100/J24</f>
        <v>#DIV/0!</v>
      </c>
    </row>
    <row r="25" spans="1:22" s="59" customFormat="1" ht="18.75" customHeight="1" hidden="1">
      <c r="A25" s="260"/>
      <c r="B25" s="1"/>
      <c r="C25" s="2"/>
      <c r="D25" s="2"/>
      <c r="E25" s="2"/>
      <c r="F25" s="2"/>
      <c r="G25" s="23"/>
      <c r="H25" s="15"/>
      <c r="I25" s="15"/>
      <c r="J25" s="15"/>
      <c r="K25" s="15"/>
      <c r="L25" s="15"/>
      <c r="M25" s="15"/>
      <c r="N25" s="15"/>
      <c r="O25" s="15">
        <f t="shared" si="2"/>
        <v>0</v>
      </c>
      <c r="P25" s="15"/>
      <c r="Q25" s="15"/>
      <c r="R25" s="15"/>
      <c r="S25" s="15"/>
      <c r="T25" s="15"/>
      <c r="U25" s="15"/>
      <c r="V25" s="6"/>
    </row>
    <row r="26" spans="1:22" s="59" customFormat="1" ht="18.75" customHeight="1" hidden="1">
      <c r="A26" s="260"/>
      <c r="B26" s="1"/>
      <c r="C26" s="2"/>
      <c r="D26" s="2"/>
      <c r="E26" s="2"/>
      <c r="F26" s="2"/>
      <c r="G26" s="23"/>
      <c r="H26" s="15"/>
      <c r="I26" s="15"/>
      <c r="J26" s="15"/>
      <c r="K26" s="15"/>
      <c r="L26" s="15"/>
      <c r="M26" s="15"/>
      <c r="N26" s="15"/>
      <c r="O26" s="15">
        <f t="shared" si="2"/>
        <v>0</v>
      </c>
      <c r="P26" s="15"/>
      <c r="Q26" s="15"/>
      <c r="R26" s="15"/>
      <c r="S26" s="15"/>
      <c r="T26" s="15"/>
      <c r="U26" s="15"/>
      <c r="V26" s="6"/>
    </row>
    <row r="27" spans="1:22" s="59" customFormat="1" ht="18.75" customHeight="1" hidden="1">
      <c r="A27" s="260"/>
      <c r="B27" s="24"/>
      <c r="C27" s="25"/>
      <c r="D27" s="25"/>
      <c r="E27" s="25"/>
      <c r="F27" s="25"/>
      <c r="G27" s="26"/>
      <c r="H27" s="15"/>
      <c r="I27" s="15"/>
      <c r="J27" s="15"/>
      <c r="K27" s="15"/>
      <c r="L27" s="15"/>
      <c r="M27" s="15"/>
      <c r="N27" s="15"/>
      <c r="O27" s="15">
        <f t="shared" si="2"/>
        <v>0</v>
      </c>
      <c r="P27" s="15"/>
      <c r="Q27" s="15"/>
      <c r="R27" s="15"/>
      <c r="S27" s="15"/>
      <c r="T27" s="15"/>
      <c r="U27" s="15"/>
      <c r="V27" s="6"/>
    </row>
    <row r="28" spans="1:22" s="59" customFormat="1" ht="18.75" customHeight="1" hidden="1">
      <c r="A28" s="260"/>
      <c r="B28" s="24"/>
      <c r="C28" s="25"/>
      <c r="D28" s="25"/>
      <c r="E28" s="25"/>
      <c r="F28" s="25"/>
      <c r="G28" s="26"/>
      <c r="H28" s="15"/>
      <c r="I28" s="15"/>
      <c r="J28" s="15"/>
      <c r="K28" s="15"/>
      <c r="L28" s="15"/>
      <c r="M28" s="15"/>
      <c r="N28" s="15"/>
      <c r="O28" s="15">
        <f t="shared" si="2"/>
        <v>0</v>
      </c>
      <c r="P28" s="15"/>
      <c r="Q28" s="15"/>
      <c r="R28" s="15"/>
      <c r="S28" s="15"/>
      <c r="T28" s="15"/>
      <c r="U28" s="15"/>
      <c r="V28" s="6"/>
    </row>
    <row r="29" spans="1:22" s="59" customFormat="1" ht="18.75" customHeight="1" hidden="1">
      <c r="A29" s="260"/>
      <c r="B29" s="1"/>
      <c r="C29" s="25"/>
      <c r="D29" s="25"/>
      <c r="E29" s="25"/>
      <c r="F29" s="25"/>
      <c r="G29" s="26"/>
      <c r="H29" s="15"/>
      <c r="I29" s="15"/>
      <c r="J29" s="15"/>
      <c r="K29" s="15"/>
      <c r="L29" s="15"/>
      <c r="M29" s="15"/>
      <c r="N29" s="15"/>
      <c r="O29" s="15">
        <f t="shared" si="2"/>
        <v>0</v>
      </c>
      <c r="P29" s="15"/>
      <c r="Q29" s="15"/>
      <c r="R29" s="15"/>
      <c r="S29" s="15"/>
      <c r="T29" s="15"/>
      <c r="U29" s="15"/>
      <c r="V29" s="6"/>
    </row>
    <row r="30" spans="1:22" s="59" customFormat="1" ht="18.75" customHeight="1" hidden="1">
      <c r="A30" s="260"/>
      <c r="B30" s="1"/>
      <c r="C30" s="2"/>
      <c r="D30" s="2"/>
      <c r="E30" s="2"/>
      <c r="F30" s="2"/>
      <c r="G30" s="26"/>
      <c r="H30" s="15"/>
      <c r="I30" s="15"/>
      <c r="J30" s="15"/>
      <c r="K30" s="15"/>
      <c r="L30" s="15"/>
      <c r="M30" s="15"/>
      <c r="N30" s="15"/>
      <c r="O30" s="15">
        <f t="shared" si="2"/>
        <v>0</v>
      </c>
      <c r="P30" s="15"/>
      <c r="Q30" s="15"/>
      <c r="R30" s="15"/>
      <c r="S30" s="15"/>
      <c r="T30" s="15"/>
      <c r="U30" s="15"/>
      <c r="V30" s="6"/>
    </row>
    <row r="31" spans="1:22" s="59" customFormat="1" ht="18.75" customHeight="1" hidden="1">
      <c r="A31" s="260"/>
      <c r="B31" s="1"/>
      <c r="C31" s="2"/>
      <c r="D31" s="2"/>
      <c r="E31" s="2"/>
      <c r="F31" s="2"/>
      <c r="G31" s="23"/>
      <c r="H31" s="15"/>
      <c r="I31" s="15"/>
      <c r="J31" s="15"/>
      <c r="K31" s="15"/>
      <c r="L31" s="15"/>
      <c r="M31" s="15"/>
      <c r="N31" s="15"/>
      <c r="O31" s="15">
        <f t="shared" si="2"/>
        <v>0</v>
      </c>
      <c r="P31" s="15"/>
      <c r="Q31" s="15"/>
      <c r="R31" s="15"/>
      <c r="S31" s="15"/>
      <c r="T31" s="15"/>
      <c r="U31" s="15"/>
      <c r="V31" s="6"/>
    </row>
    <row r="32" spans="1:22" s="159" customFormat="1" ht="18.75" customHeight="1" hidden="1">
      <c r="A32" s="280"/>
      <c r="B32" s="24"/>
      <c r="C32" s="25"/>
      <c r="D32" s="25"/>
      <c r="E32" s="25"/>
      <c r="F32" s="25"/>
      <c r="G32" s="23"/>
      <c r="H32" s="15"/>
      <c r="I32" s="15"/>
      <c r="J32" s="15"/>
      <c r="K32" s="15"/>
      <c r="L32" s="15"/>
      <c r="M32" s="15"/>
      <c r="N32" s="15"/>
      <c r="O32" s="15">
        <f t="shared" si="2"/>
        <v>0</v>
      </c>
      <c r="P32" s="15"/>
      <c r="Q32" s="15"/>
      <c r="R32" s="15"/>
      <c r="S32" s="15"/>
      <c r="T32" s="15"/>
      <c r="U32" s="15"/>
      <c r="V32" s="6"/>
    </row>
    <row r="33" spans="1:22" s="59" customFormat="1" ht="18.75" customHeight="1" hidden="1">
      <c r="A33" s="260"/>
      <c r="B33" s="1"/>
      <c r="C33" s="2"/>
      <c r="D33" s="2"/>
      <c r="E33" s="2"/>
      <c r="F33" s="2"/>
      <c r="G33" s="26"/>
      <c r="H33" s="15"/>
      <c r="I33" s="15"/>
      <c r="J33" s="15"/>
      <c r="K33" s="15"/>
      <c r="L33" s="15"/>
      <c r="M33" s="15"/>
      <c r="N33" s="15"/>
      <c r="O33" s="15">
        <f t="shared" si="2"/>
        <v>0</v>
      </c>
      <c r="P33" s="15"/>
      <c r="Q33" s="15"/>
      <c r="R33" s="15"/>
      <c r="S33" s="15"/>
      <c r="T33" s="15"/>
      <c r="U33" s="15"/>
      <c r="V33" s="6"/>
    </row>
    <row r="34" spans="1:22" s="59" customFormat="1" ht="18.75" customHeight="1" hidden="1">
      <c r="A34" s="260"/>
      <c r="B34" s="1"/>
      <c r="C34" s="2"/>
      <c r="D34" s="2"/>
      <c r="E34" s="2"/>
      <c r="F34" s="2"/>
      <c r="G34" s="23"/>
      <c r="H34" s="15"/>
      <c r="I34" s="15"/>
      <c r="J34" s="15"/>
      <c r="K34" s="15"/>
      <c r="L34" s="15"/>
      <c r="M34" s="15"/>
      <c r="N34" s="15"/>
      <c r="O34" s="15">
        <f t="shared" si="2"/>
        <v>0</v>
      </c>
      <c r="P34" s="15"/>
      <c r="Q34" s="15"/>
      <c r="R34" s="15"/>
      <c r="S34" s="15"/>
      <c r="T34" s="15"/>
      <c r="U34" s="15"/>
      <c r="V34" s="6"/>
    </row>
    <row r="35" spans="1:22" s="59" customFormat="1" ht="18.75" customHeight="1" hidden="1">
      <c r="A35" s="260"/>
      <c r="B35" s="1"/>
      <c r="C35" s="2"/>
      <c r="D35" s="2"/>
      <c r="E35" s="2"/>
      <c r="F35" s="2"/>
      <c r="G35" s="26"/>
      <c r="H35" s="15"/>
      <c r="I35" s="15"/>
      <c r="J35" s="15"/>
      <c r="K35" s="15"/>
      <c r="L35" s="15"/>
      <c r="M35" s="15"/>
      <c r="N35" s="15"/>
      <c r="O35" s="15">
        <f t="shared" si="2"/>
        <v>0</v>
      </c>
      <c r="P35" s="15"/>
      <c r="Q35" s="15"/>
      <c r="R35" s="15"/>
      <c r="S35" s="15"/>
      <c r="T35" s="15"/>
      <c r="U35" s="15"/>
      <c r="V35" s="6"/>
    </row>
    <row r="36" spans="1:22" s="59" customFormat="1" ht="18.75" customHeight="1" hidden="1">
      <c r="A36" s="260"/>
      <c r="B36" s="1"/>
      <c r="C36" s="2"/>
      <c r="D36" s="2"/>
      <c r="E36" s="2"/>
      <c r="F36" s="2"/>
      <c r="G36" s="23"/>
      <c r="H36" s="15"/>
      <c r="I36" s="15"/>
      <c r="J36" s="15"/>
      <c r="K36" s="15"/>
      <c r="L36" s="15"/>
      <c r="M36" s="15"/>
      <c r="N36" s="15"/>
      <c r="O36" s="15">
        <f t="shared" si="2"/>
        <v>0</v>
      </c>
      <c r="P36" s="15"/>
      <c r="Q36" s="15"/>
      <c r="R36" s="15"/>
      <c r="S36" s="15"/>
      <c r="T36" s="15"/>
      <c r="U36" s="15"/>
      <c r="V36" s="6"/>
    </row>
    <row r="37" spans="1:22" s="59" customFormat="1" ht="18.75" customHeight="1" hidden="1">
      <c r="A37" s="260"/>
      <c r="B37" s="1"/>
      <c r="C37" s="2"/>
      <c r="D37" s="2"/>
      <c r="E37" s="2"/>
      <c r="F37" s="2"/>
      <c r="G37" s="23"/>
      <c r="H37" s="15"/>
      <c r="I37" s="15"/>
      <c r="J37" s="15"/>
      <c r="K37" s="15"/>
      <c r="L37" s="15"/>
      <c r="M37" s="15"/>
      <c r="N37" s="15"/>
      <c r="O37" s="15">
        <f t="shared" si="2"/>
        <v>0</v>
      </c>
      <c r="P37" s="15"/>
      <c r="Q37" s="15"/>
      <c r="R37" s="15"/>
      <c r="S37" s="15"/>
      <c r="T37" s="15"/>
      <c r="U37" s="15"/>
      <c r="V37" s="6"/>
    </row>
    <row r="38" spans="1:22" s="59" customFormat="1" ht="18.75" customHeight="1" hidden="1">
      <c r="A38" s="260"/>
      <c r="B38" s="1"/>
      <c r="C38" s="2"/>
      <c r="D38" s="2"/>
      <c r="E38" s="2"/>
      <c r="F38" s="2"/>
      <c r="G38" s="23"/>
      <c r="H38" s="15"/>
      <c r="I38" s="15"/>
      <c r="J38" s="15"/>
      <c r="K38" s="15"/>
      <c r="L38" s="15"/>
      <c r="M38" s="15"/>
      <c r="N38" s="15"/>
      <c r="O38" s="15">
        <f t="shared" si="2"/>
        <v>0</v>
      </c>
      <c r="P38" s="15"/>
      <c r="Q38" s="15"/>
      <c r="R38" s="15"/>
      <c r="S38" s="15"/>
      <c r="T38" s="15"/>
      <c r="U38" s="15"/>
      <c r="V38" s="6"/>
    </row>
    <row r="39" spans="1:22" s="59" customFormat="1" ht="18.75" customHeight="1" hidden="1">
      <c r="A39" s="260"/>
      <c r="B39" s="1"/>
      <c r="C39" s="1"/>
      <c r="D39" s="1">
        <f>'ING.MATRIZ'!D33</f>
        <v>119</v>
      </c>
      <c r="E39" s="1"/>
      <c r="F39" s="1"/>
      <c r="G39" s="13" t="str">
        <f>'ING.MATRIZ'!G33</f>
        <v>Otros Ingresos Tributarios</v>
      </c>
      <c r="H39" s="4">
        <f>SUM(H40:H42)</f>
        <v>0</v>
      </c>
      <c r="I39" s="4">
        <f aca="true" t="shared" si="6" ref="I39:U39">SUM(I40:I42)</f>
        <v>0</v>
      </c>
      <c r="J39" s="4">
        <f t="shared" si="6"/>
        <v>0</v>
      </c>
      <c r="K39" s="4">
        <f t="shared" si="6"/>
        <v>0</v>
      </c>
      <c r="L39" s="4">
        <f t="shared" si="6"/>
        <v>0</v>
      </c>
      <c r="M39" s="4">
        <f t="shared" si="6"/>
        <v>0</v>
      </c>
      <c r="N39" s="4">
        <f t="shared" si="6"/>
        <v>0</v>
      </c>
      <c r="O39" s="4">
        <f t="shared" si="2"/>
        <v>0</v>
      </c>
      <c r="P39" s="4">
        <f t="shared" si="6"/>
        <v>0</v>
      </c>
      <c r="Q39" s="4">
        <f t="shared" si="6"/>
        <v>0</v>
      </c>
      <c r="R39" s="4">
        <f t="shared" si="6"/>
        <v>0</v>
      </c>
      <c r="S39" s="4">
        <f t="shared" si="6"/>
        <v>0</v>
      </c>
      <c r="T39" s="4">
        <f t="shared" si="6"/>
        <v>0</v>
      </c>
      <c r="U39" s="4">
        <f t="shared" si="6"/>
        <v>0</v>
      </c>
      <c r="V39" s="6" t="e">
        <f>U39*100/J39</f>
        <v>#DIV/0!</v>
      </c>
    </row>
    <row r="40" spans="1:22" s="59" customFormat="1" ht="18.75" customHeight="1" hidden="1">
      <c r="A40" s="260"/>
      <c r="B40" s="2"/>
      <c r="C40" s="2"/>
      <c r="D40" s="2"/>
      <c r="E40" s="2"/>
      <c r="F40" s="2"/>
      <c r="G40" s="23"/>
      <c r="H40" s="15"/>
      <c r="I40" s="15"/>
      <c r="J40" s="15"/>
      <c r="K40" s="15"/>
      <c r="L40" s="15"/>
      <c r="M40" s="15"/>
      <c r="N40" s="15"/>
      <c r="O40" s="15">
        <f t="shared" si="2"/>
        <v>0</v>
      </c>
      <c r="P40" s="15"/>
      <c r="Q40" s="15"/>
      <c r="R40" s="15"/>
      <c r="S40" s="15"/>
      <c r="T40" s="15"/>
      <c r="U40" s="15"/>
      <c r="V40" s="6"/>
    </row>
    <row r="41" spans="1:22" s="59" customFormat="1" ht="18.75" customHeight="1" hidden="1">
      <c r="A41" s="260"/>
      <c r="B41" s="2"/>
      <c r="C41" s="2"/>
      <c r="D41" s="2"/>
      <c r="E41" s="2"/>
      <c r="F41" s="2"/>
      <c r="G41" s="23"/>
      <c r="H41" s="15"/>
      <c r="I41" s="15"/>
      <c r="J41" s="15"/>
      <c r="K41" s="15"/>
      <c r="L41" s="15"/>
      <c r="M41" s="15"/>
      <c r="N41" s="15"/>
      <c r="O41" s="15">
        <f t="shared" si="2"/>
        <v>0</v>
      </c>
      <c r="P41" s="15"/>
      <c r="Q41" s="15"/>
      <c r="R41" s="15"/>
      <c r="S41" s="15"/>
      <c r="T41" s="15"/>
      <c r="U41" s="15"/>
      <c r="V41" s="6"/>
    </row>
    <row r="42" spans="1:22" s="59" customFormat="1" ht="18.75" customHeight="1" hidden="1">
      <c r="A42" s="260"/>
      <c r="B42" s="2"/>
      <c r="C42" s="2"/>
      <c r="D42" s="2"/>
      <c r="E42" s="2"/>
      <c r="F42" s="2"/>
      <c r="G42" s="23"/>
      <c r="H42" s="15"/>
      <c r="I42" s="15"/>
      <c r="J42" s="15"/>
      <c r="K42" s="15"/>
      <c r="L42" s="15"/>
      <c r="M42" s="15"/>
      <c r="N42" s="15"/>
      <c r="O42" s="15">
        <f t="shared" si="2"/>
        <v>0</v>
      </c>
      <c r="P42" s="15"/>
      <c r="Q42" s="15"/>
      <c r="R42" s="15"/>
      <c r="S42" s="15"/>
      <c r="T42" s="15"/>
      <c r="U42" s="15"/>
      <c r="V42" s="6"/>
    </row>
    <row r="43" spans="1:22" s="59" customFormat="1" ht="18.75" customHeight="1" hidden="1">
      <c r="A43" s="260"/>
      <c r="B43" s="2"/>
      <c r="C43" s="2"/>
      <c r="D43" s="2"/>
      <c r="E43" s="2"/>
      <c r="F43" s="2"/>
      <c r="G43" s="23"/>
      <c r="H43" s="15"/>
      <c r="I43" s="15"/>
      <c r="J43" s="15"/>
      <c r="K43" s="15"/>
      <c r="L43" s="15"/>
      <c r="M43" s="15"/>
      <c r="N43" s="15"/>
      <c r="O43" s="15">
        <f t="shared" si="2"/>
        <v>0</v>
      </c>
      <c r="P43" s="15"/>
      <c r="Q43" s="15"/>
      <c r="R43" s="15"/>
      <c r="S43" s="15"/>
      <c r="T43" s="15"/>
      <c r="U43" s="15"/>
      <c r="V43" s="6"/>
    </row>
    <row r="44" spans="1:22" s="59" customFormat="1" ht="18.75" customHeight="1" hidden="1">
      <c r="A44" s="260"/>
      <c r="B44" s="1"/>
      <c r="C44" s="1">
        <f>'ING.MATRIZ'!C40</f>
        <v>130</v>
      </c>
      <c r="D44" s="1"/>
      <c r="E44" s="1"/>
      <c r="F44" s="1"/>
      <c r="G44" s="13" t="str">
        <f>'ING.MATRIZ'!G40</f>
        <v>INGRESOS NO TRIBUTARIOS</v>
      </c>
      <c r="H44" s="4">
        <f>H45+H60</f>
        <v>0</v>
      </c>
      <c r="I44" s="4">
        <f aca="true" t="shared" si="7" ref="I44:U44">I45+I60</f>
        <v>0</v>
      </c>
      <c r="J44" s="4">
        <f t="shared" si="7"/>
        <v>0</v>
      </c>
      <c r="K44" s="4">
        <f t="shared" si="7"/>
        <v>0</v>
      </c>
      <c r="L44" s="4">
        <f t="shared" si="7"/>
        <v>0</v>
      </c>
      <c r="M44" s="4">
        <f t="shared" si="7"/>
        <v>0</v>
      </c>
      <c r="N44" s="4">
        <f t="shared" si="7"/>
        <v>0</v>
      </c>
      <c r="O44" s="4">
        <f t="shared" si="2"/>
        <v>0</v>
      </c>
      <c r="P44" s="4">
        <f t="shared" si="7"/>
        <v>0</v>
      </c>
      <c r="Q44" s="4">
        <f t="shared" si="7"/>
        <v>0</v>
      </c>
      <c r="R44" s="4">
        <f t="shared" si="7"/>
        <v>0</v>
      </c>
      <c r="S44" s="4">
        <f t="shared" si="7"/>
        <v>0</v>
      </c>
      <c r="T44" s="4">
        <f t="shared" si="7"/>
        <v>0</v>
      </c>
      <c r="U44" s="4">
        <f t="shared" si="7"/>
        <v>0</v>
      </c>
      <c r="V44" s="6" t="e">
        <f>U44*100/J44</f>
        <v>#DIV/0!</v>
      </c>
    </row>
    <row r="45" spans="1:22" s="59" customFormat="1" ht="18.75" customHeight="1" hidden="1">
      <c r="A45" s="260"/>
      <c r="B45" s="1"/>
      <c r="C45" s="1"/>
      <c r="D45" s="1">
        <f>'ING.MATRIZ'!D41</f>
        <v>132</v>
      </c>
      <c r="E45" s="1"/>
      <c r="F45" s="1"/>
      <c r="G45" s="13" t="str">
        <f>'ING.MATRIZ'!G41</f>
        <v>Tasas y Derechos</v>
      </c>
      <c r="H45" s="4">
        <f>SUM(H46:H59)</f>
        <v>0</v>
      </c>
      <c r="I45" s="4">
        <f aca="true" t="shared" si="8" ref="I45:U45">SUM(I46:I59)</f>
        <v>0</v>
      </c>
      <c r="J45" s="4">
        <f t="shared" si="8"/>
        <v>0</v>
      </c>
      <c r="K45" s="4">
        <f t="shared" si="8"/>
        <v>0</v>
      </c>
      <c r="L45" s="4">
        <f t="shared" si="8"/>
        <v>0</v>
      </c>
      <c r="M45" s="4">
        <f t="shared" si="8"/>
        <v>0</v>
      </c>
      <c r="N45" s="4">
        <f t="shared" si="8"/>
        <v>0</v>
      </c>
      <c r="O45" s="4">
        <f t="shared" si="2"/>
        <v>0</v>
      </c>
      <c r="P45" s="4">
        <f t="shared" si="8"/>
        <v>0</v>
      </c>
      <c r="Q45" s="4">
        <f t="shared" si="8"/>
        <v>0</v>
      </c>
      <c r="R45" s="4">
        <f t="shared" si="8"/>
        <v>0</v>
      </c>
      <c r="S45" s="4">
        <f t="shared" si="8"/>
        <v>0</v>
      </c>
      <c r="T45" s="4">
        <f t="shared" si="8"/>
        <v>0</v>
      </c>
      <c r="U45" s="4">
        <f t="shared" si="8"/>
        <v>0</v>
      </c>
      <c r="V45" s="6" t="e">
        <f>U45*100/J45</f>
        <v>#DIV/0!</v>
      </c>
    </row>
    <row r="46" spans="1:22" s="59" customFormat="1" ht="18.75" customHeight="1" hidden="1">
      <c r="A46" s="260"/>
      <c r="B46" s="2"/>
      <c r="C46" s="2"/>
      <c r="D46" s="2"/>
      <c r="E46" s="2"/>
      <c r="F46" s="2"/>
      <c r="G46" s="23"/>
      <c r="H46" s="15"/>
      <c r="I46" s="15"/>
      <c r="J46" s="15"/>
      <c r="K46" s="15"/>
      <c r="L46" s="15"/>
      <c r="M46" s="15"/>
      <c r="N46" s="15"/>
      <c r="O46" s="15">
        <f t="shared" si="2"/>
        <v>0</v>
      </c>
      <c r="P46" s="15"/>
      <c r="Q46" s="15"/>
      <c r="R46" s="15"/>
      <c r="S46" s="15"/>
      <c r="T46" s="15"/>
      <c r="U46" s="15"/>
      <c r="V46" s="6"/>
    </row>
    <row r="47" spans="1:22" s="59" customFormat="1" ht="18.75" customHeight="1" hidden="1">
      <c r="A47" s="260"/>
      <c r="B47" s="2"/>
      <c r="C47" s="2"/>
      <c r="D47" s="2"/>
      <c r="E47" s="2"/>
      <c r="F47" s="2"/>
      <c r="G47" s="23"/>
      <c r="H47" s="15"/>
      <c r="I47" s="15"/>
      <c r="J47" s="15"/>
      <c r="K47" s="15"/>
      <c r="L47" s="15"/>
      <c r="M47" s="15"/>
      <c r="N47" s="15"/>
      <c r="O47" s="15">
        <f t="shared" si="2"/>
        <v>0</v>
      </c>
      <c r="P47" s="15"/>
      <c r="Q47" s="15"/>
      <c r="R47" s="15"/>
      <c r="S47" s="15"/>
      <c r="T47" s="15"/>
      <c r="U47" s="15"/>
      <c r="V47" s="6"/>
    </row>
    <row r="48" spans="1:22" s="59" customFormat="1" ht="18.75" customHeight="1" hidden="1">
      <c r="A48" s="260"/>
      <c r="B48" s="2"/>
      <c r="C48" s="2"/>
      <c r="D48" s="2"/>
      <c r="E48" s="2"/>
      <c r="F48" s="2"/>
      <c r="G48" s="23"/>
      <c r="H48" s="15"/>
      <c r="I48" s="15"/>
      <c r="J48" s="15"/>
      <c r="K48" s="15"/>
      <c r="L48" s="15"/>
      <c r="M48" s="15"/>
      <c r="N48" s="15"/>
      <c r="O48" s="15">
        <f t="shared" si="2"/>
        <v>0</v>
      </c>
      <c r="P48" s="15"/>
      <c r="Q48" s="15"/>
      <c r="R48" s="15"/>
      <c r="S48" s="15"/>
      <c r="T48" s="15"/>
      <c r="U48" s="15"/>
      <c r="V48" s="6"/>
    </row>
    <row r="49" spans="1:22" s="59" customFormat="1" ht="18.75" customHeight="1" hidden="1">
      <c r="A49" s="260"/>
      <c r="B49" s="2"/>
      <c r="C49" s="2"/>
      <c r="D49" s="2"/>
      <c r="E49" s="2"/>
      <c r="F49" s="2"/>
      <c r="G49" s="23"/>
      <c r="H49" s="15"/>
      <c r="I49" s="15"/>
      <c r="J49" s="15"/>
      <c r="K49" s="15"/>
      <c r="L49" s="15"/>
      <c r="M49" s="15"/>
      <c r="N49" s="15"/>
      <c r="O49" s="15">
        <f t="shared" si="2"/>
        <v>0</v>
      </c>
      <c r="P49" s="15"/>
      <c r="Q49" s="15"/>
      <c r="R49" s="15"/>
      <c r="S49" s="15"/>
      <c r="T49" s="15"/>
      <c r="U49" s="15"/>
      <c r="V49" s="6"/>
    </row>
    <row r="50" spans="1:22" s="59" customFormat="1" ht="18.75" customHeight="1" hidden="1">
      <c r="A50" s="260"/>
      <c r="B50" s="2"/>
      <c r="C50" s="2"/>
      <c r="D50" s="2"/>
      <c r="E50" s="2"/>
      <c r="F50" s="2"/>
      <c r="G50" s="23"/>
      <c r="H50" s="15"/>
      <c r="I50" s="15"/>
      <c r="J50" s="15"/>
      <c r="K50" s="15"/>
      <c r="L50" s="15"/>
      <c r="M50" s="15"/>
      <c r="N50" s="15"/>
      <c r="O50" s="15">
        <f t="shared" si="2"/>
        <v>0</v>
      </c>
      <c r="P50" s="15"/>
      <c r="Q50" s="15"/>
      <c r="R50" s="15"/>
      <c r="S50" s="15"/>
      <c r="T50" s="15"/>
      <c r="U50" s="15"/>
      <c r="V50" s="6"/>
    </row>
    <row r="51" spans="1:22" s="59" customFormat="1" ht="18.75" customHeight="1" hidden="1">
      <c r="A51" s="260"/>
      <c r="B51" s="2"/>
      <c r="C51" s="2"/>
      <c r="D51" s="2"/>
      <c r="E51" s="2"/>
      <c r="F51" s="2"/>
      <c r="G51" s="23"/>
      <c r="H51" s="15"/>
      <c r="I51" s="15"/>
      <c r="J51" s="15"/>
      <c r="K51" s="15"/>
      <c r="L51" s="15"/>
      <c r="M51" s="15"/>
      <c r="N51" s="15"/>
      <c r="O51" s="15">
        <f t="shared" si="2"/>
        <v>0</v>
      </c>
      <c r="P51" s="15"/>
      <c r="Q51" s="15"/>
      <c r="R51" s="15"/>
      <c r="S51" s="15"/>
      <c r="T51" s="15"/>
      <c r="U51" s="15"/>
      <c r="V51" s="6"/>
    </row>
    <row r="52" spans="1:22" s="59" customFormat="1" ht="18.75" customHeight="1" hidden="1">
      <c r="A52" s="260"/>
      <c r="B52" s="2"/>
      <c r="C52" s="2"/>
      <c r="D52" s="2"/>
      <c r="E52" s="2"/>
      <c r="F52" s="2"/>
      <c r="G52" s="23"/>
      <c r="H52" s="15"/>
      <c r="I52" s="15"/>
      <c r="J52" s="15"/>
      <c r="K52" s="15"/>
      <c r="L52" s="15"/>
      <c r="M52" s="15"/>
      <c r="N52" s="15"/>
      <c r="O52" s="15">
        <f t="shared" si="2"/>
        <v>0</v>
      </c>
      <c r="P52" s="15"/>
      <c r="Q52" s="15"/>
      <c r="R52" s="15"/>
      <c r="S52" s="15"/>
      <c r="T52" s="15"/>
      <c r="U52" s="15"/>
      <c r="V52" s="6"/>
    </row>
    <row r="53" spans="1:22" s="159" customFormat="1" ht="18.75" customHeight="1" hidden="1">
      <c r="A53" s="280"/>
      <c r="B53" s="25"/>
      <c r="C53" s="25"/>
      <c r="D53" s="25"/>
      <c r="E53" s="25"/>
      <c r="F53" s="25"/>
      <c r="G53" s="23"/>
      <c r="H53" s="15"/>
      <c r="I53" s="15"/>
      <c r="J53" s="15"/>
      <c r="K53" s="15"/>
      <c r="L53" s="15"/>
      <c r="M53" s="15"/>
      <c r="N53" s="15"/>
      <c r="O53" s="15">
        <f t="shared" si="2"/>
        <v>0</v>
      </c>
      <c r="P53" s="15"/>
      <c r="Q53" s="15"/>
      <c r="R53" s="15"/>
      <c r="S53" s="15"/>
      <c r="T53" s="15"/>
      <c r="U53" s="15"/>
      <c r="V53" s="6"/>
    </row>
    <row r="54" spans="1:22" s="159" customFormat="1" ht="18.75" customHeight="1" hidden="1">
      <c r="A54" s="280"/>
      <c r="B54" s="25"/>
      <c r="C54" s="25"/>
      <c r="D54" s="25"/>
      <c r="E54" s="25"/>
      <c r="F54" s="25"/>
      <c r="G54" s="26"/>
      <c r="H54" s="15"/>
      <c r="I54" s="15"/>
      <c r="J54" s="15"/>
      <c r="K54" s="15"/>
      <c r="L54" s="15"/>
      <c r="M54" s="15"/>
      <c r="N54" s="15"/>
      <c r="O54" s="15">
        <f t="shared" si="2"/>
        <v>0</v>
      </c>
      <c r="P54" s="15"/>
      <c r="Q54" s="15"/>
      <c r="R54" s="15"/>
      <c r="S54" s="15"/>
      <c r="T54" s="15"/>
      <c r="U54" s="15"/>
      <c r="V54" s="6"/>
    </row>
    <row r="55" spans="1:22" s="59" customFormat="1" ht="18.75" customHeight="1" hidden="1">
      <c r="A55" s="260"/>
      <c r="B55" s="2"/>
      <c r="C55" s="2"/>
      <c r="D55" s="2"/>
      <c r="E55" s="25"/>
      <c r="F55" s="25"/>
      <c r="G55" s="23"/>
      <c r="H55" s="15"/>
      <c r="I55" s="15"/>
      <c r="J55" s="15"/>
      <c r="K55" s="15"/>
      <c r="L55" s="15"/>
      <c r="M55" s="15"/>
      <c r="N55" s="15"/>
      <c r="O55" s="15">
        <f t="shared" si="2"/>
        <v>0</v>
      </c>
      <c r="P55" s="15"/>
      <c r="Q55" s="15"/>
      <c r="R55" s="15"/>
      <c r="S55" s="15"/>
      <c r="T55" s="15"/>
      <c r="U55" s="15"/>
      <c r="V55" s="6"/>
    </row>
    <row r="56" spans="1:22" s="159" customFormat="1" ht="18.75" customHeight="1" hidden="1">
      <c r="A56" s="280"/>
      <c r="B56" s="25"/>
      <c r="C56" s="25"/>
      <c r="D56" s="2"/>
      <c r="E56" s="2"/>
      <c r="F56" s="2"/>
      <c r="G56" s="26"/>
      <c r="H56" s="15"/>
      <c r="I56" s="15"/>
      <c r="J56" s="15"/>
      <c r="K56" s="15"/>
      <c r="L56" s="15"/>
      <c r="M56" s="15"/>
      <c r="N56" s="15"/>
      <c r="O56" s="15">
        <f t="shared" si="2"/>
        <v>0</v>
      </c>
      <c r="P56" s="15"/>
      <c r="Q56" s="15"/>
      <c r="R56" s="15"/>
      <c r="S56" s="15"/>
      <c r="T56" s="15"/>
      <c r="U56" s="15"/>
      <c r="V56" s="6"/>
    </row>
    <row r="57" spans="1:22" s="159" customFormat="1" ht="18.75" customHeight="1" hidden="1">
      <c r="A57" s="280"/>
      <c r="B57" s="25"/>
      <c r="C57" s="25"/>
      <c r="D57" s="2"/>
      <c r="E57" s="25"/>
      <c r="F57" s="25"/>
      <c r="G57" s="26"/>
      <c r="H57" s="15"/>
      <c r="I57" s="15"/>
      <c r="J57" s="15"/>
      <c r="K57" s="15"/>
      <c r="L57" s="15"/>
      <c r="M57" s="15"/>
      <c r="N57" s="15"/>
      <c r="O57" s="15">
        <f t="shared" si="2"/>
        <v>0</v>
      </c>
      <c r="P57" s="15"/>
      <c r="Q57" s="15"/>
      <c r="R57" s="15"/>
      <c r="S57" s="15"/>
      <c r="T57" s="15"/>
      <c r="U57" s="15"/>
      <c r="V57" s="6"/>
    </row>
    <row r="58" spans="1:22" s="59" customFormat="1" ht="18.75" customHeight="1" hidden="1">
      <c r="A58" s="260"/>
      <c r="B58" s="2"/>
      <c r="C58" s="2"/>
      <c r="D58" s="2"/>
      <c r="E58" s="2"/>
      <c r="F58" s="2"/>
      <c r="G58" s="26"/>
      <c r="H58" s="15"/>
      <c r="I58" s="15"/>
      <c r="J58" s="15"/>
      <c r="K58" s="15"/>
      <c r="L58" s="15"/>
      <c r="M58" s="15"/>
      <c r="N58" s="15"/>
      <c r="O58" s="15">
        <f t="shared" si="2"/>
        <v>0</v>
      </c>
      <c r="P58" s="15"/>
      <c r="Q58" s="15"/>
      <c r="R58" s="15"/>
      <c r="S58" s="15"/>
      <c r="T58" s="15"/>
      <c r="U58" s="15"/>
      <c r="V58" s="6"/>
    </row>
    <row r="59" spans="1:22" s="59" customFormat="1" ht="18.75" customHeight="1" hidden="1">
      <c r="A59" s="260"/>
      <c r="B59" s="2"/>
      <c r="C59" s="2"/>
      <c r="D59" s="2"/>
      <c r="E59" s="2"/>
      <c r="F59" s="2"/>
      <c r="G59" s="26"/>
      <c r="H59" s="15"/>
      <c r="I59" s="15"/>
      <c r="J59" s="15"/>
      <c r="K59" s="15"/>
      <c r="L59" s="15"/>
      <c r="M59" s="15"/>
      <c r="N59" s="15"/>
      <c r="O59" s="15">
        <f t="shared" si="2"/>
        <v>0</v>
      </c>
      <c r="P59" s="15"/>
      <c r="Q59" s="15"/>
      <c r="R59" s="15"/>
      <c r="S59" s="15"/>
      <c r="T59" s="15"/>
      <c r="U59" s="15"/>
      <c r="V59" s="6"/>
    </row>
    <row r="60" spans="1:22" s="59" customFormat="1" ht="18.75" customHeight="1" hidden="1">
      <c r="A60" s="260"/>
      <c r="B60" s="1"/>
      <c r="C60" s="1"/>
      <c r="D60" s="1">
        <f>'ING.MATRIZ'!D53</f>
        <v>133</v>
      </c>
      <c r="E60" s="1"/>
      <c r="F60" s="1"/>
      <c r="G60" s="13" t="str">
        <f>'ING.MATRIZ'!G53</f>
        <v>Multas y Otros Derechos no Tributarios</v>
      </c>
      <c r="H60" s="4">
        <f>SUM(H61:H63)</f>
        <v>0</v>
      </c>
      <c r="I60" s="4">
        <f aca="true" t="shared" si="9" ref="I60:U60">SUM(I61:I63)</f>
        <v>0</v>
      </c>
      <c r="J60" s="4">
        <f t="shared" si="9"/>
        <v>0</v>
      </c>
      <c r="K60" s="4">
        <f t="shared" si="9"/>
        <v>0</v>
      </c>
      <c r="L60" s="4">
        <f t="shared" si="9"/>
        <v>0</v>
      </c>
      <c r="M60" s="4">
        <f t="shared" si="9"/>
        <v>0</v>
      </c>
      <c r="N60" s="4">
        <f t="shared" si="9"/>
        <v>0</v>
      </c>
      <c r="O60" s="4">
        <f t="shared" si="2"/>
        <v>0</v>
      </c>
      <c r="P60" s="4">
        <f t="shared" si="9"/>
        <v>0</v>
      </c>
      <c r="Q60" s="4">
        <f t="shared" si="9"/>
        <v>0</v>
      </c>
      <c r="R60" s="4">
        <f t="shared" si="9"/>
        <v>0</v>
      </c>
      <c r="S60" s="4">
        <f t="shared" si="9"/>
        <v>0</v>
      </c>
      <c r="T60" s="4">
        <f t="shared" si="9"/>
        <v>0</v>
      </c>
      <c r="U60" s="4">
        <f t="shared" si="9"/>
        <v>0</v>
      </c>
      <c r="V60" s="6" t="e">
        <f>U60*100/J60</f>
        <v>#DIV/0!</v>
      </c>
    </row>
    <row r="61" spans="1:22" s="59" customFormat="1" ht="18.75" customHeight="1" hidden="1">
      <c r="A61" s="260"/>
      <c r="B61" s="1"/>
      <c r="C61" s="1"/>
      <c r="D61" s="2"/>
      <c r="E61" s="2"/>
      <c r="F61" s="2"/>
      <c r="G61" s="23"/>
      <c r="H61" s="15"/>
      <c r="I61" s="15"/>
      <c r="J61" s="15"/>
      <c r="K61" s="15"/>
      <c r="L61" s="15"/>
      <c r="M61" s="15"/>
      <c r="N61" s="15"/>
      <c r="O61" s="15">
        <f t="shared" si="2"/>
        <v>0</v>
      </c>
      <c r="P61" s="15"/>
      <c r="Q61" s="15"/>
      <c r="R61" s="15"/>
      <c r="S61" s="15"/>
      <c r="T61" s="15"/>
      <c r="U61" s="15"/>
      <c r="V61" s="6"/>
    </row>
    <row r="62" spans="1:22" s="59" customFormat="1" ht="18.75" customHeight="1" hidden="1">
      <c r="A62" s="260"/>
      <c r="B62" s="1"/>
      <c r="C62" s="1"/>
      <c r="D62" s="2"/>
      <c r="E62" s="2"/>
      <c r="F62" s="2"/>
      <c r="G62" s="23"/>
      <c r="H62" s="15"/>
      <c r="I62" s="15"/>
      <c r="J62" s="15"/>
      <c r="K62" s="15"/>
      <c r="L62" s="15"/>
      <c r="M62" s="15"/>
      <c r="N62" s="15"/>
      <c r="O62" s="15">
        <f t="shared" si="2"/>
        <v>0</v>
      </c>
      <c r="P62" s="15"/>
      <c r="Q62" s="15"/>
      <c r="R62" s="15"/>
      <c r="S62" s="15"/>
      <c r="T62" s="15"/>
      <c r="U62" s="15"/>
      <c r="V62" s="6"/>
    </row>
    <row r="63" spans="1:22" s="59" customFormat="1" ht="18.75" customHeight="1" hidden="1">
      <c r="A63" s="260"/>
      <c r="B63" s="1"/>
      <c r="C63" s="1"/>
      <c r="D63" s="2"/>
      <c r="E63" s="2"/>
      <c r="F63" s="2"/>
      <c r="G63" s="23"/>
      <c r="H63" s="15"/>
      <c r="I63" s="15"/>
      <c r="J63" s="15"/>
      <c r="K63" s="15"/>
      <c r="L63" s="15"/>
      <c r="M63" s="15"/>
      <c r="N63" s="15"/>
      <c r="O63" s="15">
        <f t="shared" si="2"/>
        <v>0</v>
      </c>
      <c r="P63" s="15"/>
      <c r="Q63" s="15"/>
      <c r="R63" s="15"/>
      <c r="S63" s="15"/>
      <c r="T63" s="15"/>
      <c r="U63" s="15"/>
      <c r="V63" s="6"/>
    </row>
    <row r="64" spans="1:22" s="59" customFormat="1" ht="18.75" customHeight="1" hidden="1">
      <c r="A64" s="260"/>
      <c r="B64" s="1"/>
      <c r="C64" s="1"/>
      <c r="D64" s="2"/>
      <c r="E64" s="2"/>
      <c r="F64" s="2"/>
      <c r="G64" s="23"/>
      <c r="H64" s="15"/>
      <c r="I64" s="15"/>
      <c r="J64" s="15"/>
      <c r="K64" s="15"/>
      <c r="L64" s="15"/>
      <c r="M64" s="15"/>
      <c r="N64" s="15"/>
      <c r="O64" s="15">
        <f t="shared" si="2"/>
        <v>0</v>
      </c>
      <c r="P64" s="15"/>
      <c r="Q64" s="15"/>
      <c r="R64" s="15"/>
      <c r="S64" s="15"/>
      <c r="T64" s="15"/>
      <c r="U64" s="15"/>
      <c r="V64" s="6"/>
    </row>
    <row r="65" spans="1:22" s="59" customFormat="1" ht="18.75" customHeight="1" hidden="1">
      <c r="A65" s="260"/>
      <c r="B65" s="24"/>
      <c r="C65" s="24">
        <f>'ING.MATRIZ'!C58</f>
        <v>140</v>
      </c>
      <c r="D65" s="24"/>
      <c r="E65" s="24"/>
      <c r="F65" s="24"/>
      <c r="G65" s="29" t="str">
        <f>'ING.MATRIZ'!G58</f>
        <v>VENTA DE BIENES Y SERVICIOS DE LAS ADMIN. PÚBLICAS</v>
      </c>
      <c r="H65" s="28">
        <f>H66+H78</f>
        <v>0</v>
      </c>
      <c r="I65" s="28">
        <f aca="true" t="shared" si="10" ref="I65:U65">I66+I78</f>
        <v>0</v>
      </c>
      <c r="J65" s="28">
        <f t="shared" si="10"/>
        <v>0</v>
      </c>
      <c r="K65" s="28">
        <f t="shared" si="10"/>
        <v>0</v>
      </c>
      <c r="L65" s="28">
        <f t="shared" si="10"/>
        <v>0</v>
      </c>
      <c r="M65" s="28">
        <f t="shared" si="10"/>
        <v>0</v>
      </c>
      <c r="N65" s="28">
        <f t="shared" si="10"/>
        <v>0</v>
      </c>
      <c r="O65" s="28">
        <f t="shared" si="2"/>
        <v>0</v>
      </c>
      <c r="P65" s="28">
        <f t="shared" si="10"/>
        <v>0</v>
      </c>
      <c r="Q65" s="28">
        <f t="shared" si="10"/>
        <v>0</v>
      </c>
      <c r="R65" s="28">
        <f t="shared" si="10"/>
        <v>0</v>
      </c>
      <c r="S65" s="28">
        <f t="shared" si="10"/>
        <v>0</v>
      </c>
      <c r="T65" s="28">
        <f t="shared" si="10"/>
        <v>0</v>
      </c>
      <c r="U65" s="28">
        <f t="shared" si="10"/>
        <v>0</v>
      </c>
      <c r="V65" s="6" t="e">
        <f>U65*100/J65</f>
        <v>#DIV/0!</v>
      </c>
    </row>
    <row r="66" spans="1:22" s="59" customFormat="1" ht="18.75" customHeight="1" hidden="1">
      <c r="A66" s="260"/>
      <c r="B66" s="1"/>
      <c r="C66" s="1"/>
      <c r="D66" s="1">
        <f>'ING.MATRIZ'!D59</f>
        <v>141</v>
      </c>
      <c r="E66" s="1"/>
      <c r="F66" s="1"/>
      <c r="G66" s="13" t="str">
        <f>'ING.MATRIZ'!G59</f>
        <v>Venta de Bienes de la Administración Pública</v>
      </c>
      <c r="H66" s="4">
        <f>SUM(H67:H76)</f>
        <v>0</v>
      </c>
      <c r="I66" s="4">
        <f aca="true" t="shared" si="11" ref="I66:U66">SUM(I67:I76)</f>
        <v>0</v>
      </c>
      <c r="J66" s="4">
        <f t="shared" si="11"/>
        <v>0</v>
      </c>
      <c r="K66" s="4">
        <f t="shared" si="11"/>
        <v>0</v>
      </c>
      <c r="L66" s="4">
        <f t="shared" si="11"/>
        <v>0</v>
      </c>
      <c r="M66" s="4">
        <f t="shared" si="11"/>
        <v>0</v>
      </c>
      <c r="N66" s="4">
        <f t="shared" si="11"/>
        <v>0</v>
      </c>
      <c r="O66" s="4">
        <f t="shared" si="2"/>
        <v>0</v>
      </c>
      <c r="P66" s="4">
        <f t="shared" si="11"/>
        <v>0</v>
      </c>
      <c r="Q66" s="4">
        <f t="shared" si="11"/>
        <v>0</v>
      </c>
      <c r="R66" s="4">
        <f t="shared" si="11"/>
        <v>0</v>
      </c>
      <c r="S66" s="4">
        <f t="shared" si="11"/>
        <v>0</v>
      </c>
      <c r="T66" s="4">
        <f t="shared" si="11"/>
        <v>0</v>
      </c>
      <c r="U66" s="4">
        <f t="shared" si="11"/>
        <v>0</v>
      </c>
      <c r="V66" s="6" t="e">
        <f>U66*100/J66</f>
        <v>#DIV/0!</v>
      </c>
    </row>
    <row r="67" spans="1:22" s="161" customFormat="1" ht="18.75" customHeight="1" hidden="1">
      <c r="A67" s="259"/>
      <c r="B67" s="1"/>
      <c r="C67" s="1"/>
      <c r="D67" s="2"/>
      <c r="E67" s="2"/>
      <c r="F67" s="2"/>
      <c r="G67" s="23"/>
      <c r="H67" s="15"/>
      <c r="I67" s="15"/>
      <c r="J67" s="15"/>
      <c r="K67" s="15"/>
      <c r="L67" s="15"/>
      <c r="M67" s="15"/>
      <c r="N67" s="15"/>
      <c r="O67" s="15">
        <f t="shared" si="2"/>
        <v>0</v>
      </c>
      <c r="P67" s="15"/>
      <c r="Q67" s="15"/>
      <c r="R67" s="15"/>
      <c r="S67" s="15"/>
      <c r="T67" s="15"/>
      <c r="U67" s="15"/>
      <c r="V67" s="6"/>
    </row>
    <row r="68" spans="1:22" s="161" customFormat="1" ht="18.75" customHeight="1" hidden="1">
      <c r="A68" s="259"/>
      <c r="B68" s="1"/>
      <c r="C68" s="1"/>
      <c r="D68" s="2"/>
      <c r="E68" s="2"/>
      <c r="F68" s="2"/>
      <c r="G68" s="23"/>
      <c r="H68" s="15"/>
      <c r="I68" s="15"/>
      <c r="J68" s="15"/>
      <c r="K68" s="15"/>
      <c r="L68" s="15"/>
      <c r="M68" s="15"/>
      <c r="N68" s="15"/>
      <c r="O68" s="15">
        <f t="shared" si="2"/>
        <v>0</v>
      </c>
      <c r="P68" s="15"/>
      <c r="Q68" s="15"/>
      <c r="R68" s="15"/>
      <c r="S68" s="15"/>
      <c r="T68" s="15"/>
      <c r="U68" s="15"/>
      <c r="V68" s="6"/>
    </row>
    <row r="69" spans="1:22" s="161" customFormat="1" ht="18.75" customHeight="1" hidden="1">
      <c r="A69" s="259"/>
      <c r="B69" s="1"/>
      <c r="C69" s="1"/>
      <c r="D69" s="2"/>
      <c r="E69" s="2"/>
      <c r="F69" s="25"/>
      <c r="G69" s="26"/>
      <c r="H69" s="15"/>
      <c r="I69" s="15"/>
      <c r="J69" s="15"/>
      <c r="K69" s="15"/>
      <c r="L69" s="15"/>
      <c r="M69" s="15"/>
      <c r="N69" s="15"/>
      <c r="O69" s="15">
        <f t="shared" si="2"/>
        <v>0</v>
      </c>
      <c r="P69" s="15"/>
      <c r="Q69" s="15"/>
      <c r="R69" s="15"/>
      <c r="S69" s="15"/>
      <c r="T69" s="15"/>
      <c r="U69" s="15"/>
      <c r="V69" s="6"/>
    </row>
    <row r="70" spans="1:22" s="161" customFormat="1" ht="18.75" customHeight="1" hidden="1">
      <c r="A70" s="259"/>
      <c r="B70" s="1"/>
      <c r="C70" s="1"/>
      <c r="D70" s="25"/>
      <c r="E70" s="2"/>
      <c r="F70" s="25"/>
      <c r="G70" s="26"/>
      <c r="H70" s="15"/>
      <c r="I70" s="15"/>
      <c r="J70" s="15"/>
      <c r="K70" s="15"/>
      <c r="L70" s="15"/>
      <c r="M70" s="15"/>
      <c r="N70" s="15"/>
      <c r="O70" s="15">
        <f t="shared" si="2"/>
        <v>0</v>
      </c>
      <c r="P70" s="15"/>
      <c r="Q70" s="15"/>
      <c r="R70" s="15"/>
      <c r="S70" s="15"/>
      <c r="T70" s="15"/>
      <c r="U70" s="15"/>
      <c r="V70" s="6"/>
    </row>
    <row r="71" spans="1:22" s="163" customFormat="1" ht="18.75" customHeight="1" hidden="1">
      <c r="A71" s="281"/>
      <c r="B71" s="24"/>
      <c r="C71" s="24"/>
      <c r="D71" s="25"/>
      <c r="E71" s="2"/>
      <c r="F71" s="25"/>
      <c r="G71" s="26"/>
      <c r="H71" s="15"/>
      <c r="I71" s="15"/>
      <c r="J71" s="15"/>
      <c r="K71" s="15"/>
      <c r="L71" s="15"/>
      <c r="M71" s="15"/>
      <c r="N71" s="15"/>
      <c r="O71" s="15">
        <f t="shared" si="2"/>
        <v>0</v>
      </c>
      <c r="P71" s="15"/>
      <c r="Q71" s="15"/>
      <c r="R71" s="15"/>
      <c r="S71" s="15"/>
      <c r="T71" s="15"/>
      <c r="U71" s="15"/>
      <c r="V71" s="6"/>
    </row>
    <row r="72" spans="1:22" s="163" customFormat="1" ht="18.75" customHeight="1" hidden="1">
      <c r="A72" s="281"/>
      <c r="B72" s="24"/>
      <c r="C72" s="24"/>
      <c r="D72" s="25"/>
      <c r="E72" s="2"/>
      <c r="F72" s="25"/>
      <c r="G72" s="26"/>
      <c r="H72" s="15"/>
      <c r="I72" s="15"/>
      <c r="J72" s="15"/>
      <c r="K72" s="15"/>
      <c r="L72" s="15"/>
      <c r="M72" s="15"/>
      <c r="N72" s="15"/>
      <c r="O72" s="15">
        <f t="shared" si="2"/>
        <v>0</v>
      </c>
      <c r="P72" s="15"/>
      <c r="Q72" s="15"/>
      <c r="R72" s="15"/>
      <c r="S72" s="15"/>
      <c r="T72" s="15"/>
      <c r="U72" s="15"/>
      <c r="V72" s="6"/>
    </row>
    <row r="73" spans="1:22" s="163" customFormat="1" ht="18.75" customHeight="1" hidden="1">
      <c r="A73" s="281"/>
      <c r="B73" s="24"/>
      <c r="C73" s="24"/>
      <c r="D73" s="25"/>
      <c r="E73" s="2"/>
      <c r="F73" s="25"/>
      <c r="G73" s="23"/>
      <c r="H73" s="15"/>
      <c r="I73" s="15"/>
      <c r="J73" s="15"/>
      <c r="K73" s="15"/>
      <c r="L73" s="15"/>
      <c r="M73" s="15"/>
      <c r="N73" s="15"/>
      <c r="O73" s="15">
        <f t="shared" si="2"/>
        <v>0</v>
      </c>
      <c r="P73" s="15"/>
      <c r="Q73" s="15"/>
      <c r="R73" s="15"/>
      <c r="S73" s="15"/>
      <c r="T73" s="15"/>
      <c r="U73" s="15"/>
      <c r="V73" s="6"/>
    </row>
    <row r="74" spans="1:22" s="163" customFormat="1" ht="18.75" customHeight="1" hidden="1">
      <c r="A74" s="281"/>
      <c r="B74" s="24"/>
      <c r="C74" s="24"/>
      <c r="D74" s="25"/>
      <c r="E74" s="2"/>
      <c r="F74" s="25"/>
      <c r="G74" s="23"/>
      <c r="H74" s="15"/>
      <c r="I74" s="15"/>
      <c r="J74" s="15"/>
      <c r="K74" s="15"/>
      <c r="L74" s="15"/>
      <c r="M74" s="15"/>
      <c r="N74" s="15"/>
      <c r="O74" s="15">
        <f t="shared" si="2"/>
        <v>0</v>
      </c>
      <c r="P74" s="15"/>
      <c r="Q74" s="15"/>
      <c r="R74" s="15"/>
      <c r="S74" s="15"/>
      <c r="T74" s="15"/>
      <c r="U74" s="15"/>
      <c r="V74" s="6"/>
    </row>
    <row r="75" spans="1:22" s="161" customFormat="1" ht="18.75" customHeight="1" hidden="1">
      <c r="A75" s="259"/>
      <c r="B75" s="1"/>
      <c r="C75" s="1"/>
      <c r="D75" s="2"/>
      <c r="E75" s="2"/>
      <c r="F75" s="2"/>
      <c r="G75" s="23"/>
      <c r="H75" s="15"/>
      <c r="I75" s="15"/>
      <c r="J75" s="15"/>
      <c r="K75" s="15"/>
      <c r="L75" s="15"/>
      <c r="M75" s="15"/>
      <c r="N75" s="15"/>
      <c r="O75" s="15">
        <f t="shared" si="2"/>
        <v>0</v>
      </c>
      <c r="P75" s="15"/>
      <c r="Q75" s="15"/>
      <c r="R75" s="15"/>
      <c r="S75" s="15"/>
      <c r="T75" s="15"/>
      <c r="U75" s="15"/>
      <c r="V75" s="6"/>
    </row>
    <row r="76" spans="1:22" s="161" customFormat="1" ht="18.75" customHeight="1" hidden="1">
      <c r="A76" s="259"/>
      <c r="B76" s="1"/>
      <c r="C76" s="1"/>
      <c r="D76" s="2"/>
      <c r="E76" s="2"/>
      <c r="F76" s="2"/>
      <c r="G76" s="23"/>
      <c r="H76" s="15"/>
      <c r="I76" s="15"/>
      <c r="J76" s="15"/>
      <c r="K76" s="15"/>
      <c r="L76" s="15"/>
      <c r="M76" s="15"/>
      <c r="N76" s="15"/>
      <c r="O76" s="15">
        <f aca="true" t="shared" si="12" ref="O76:O139">+K76+L76+M76+N76</f>
        <v>0</v>
      </c>
      <c r="P76" s="15"/>
      <c r="Q76" s="15"/>
      <c r="R76" s="15"/>
      <c r="S76" s="15"/>
      <c r="T76" s="15"/>
      <c r="U76" s="15"/>
      <c r="V76" s="6"/>
    </row>
    <row r="77" spans="1:22" s="164" customFormat="1" ht="18.75" customHeight="1" hidden="1">
      <c r="A77" s="259"/>
      <c r="B77" s="16"/>
      <c r="C77" s="16"/>
      <c r="D77" s="17"/>
      <c r="E77" s="17"/>
      <c r="F77" s="17"/>
      <c r="G77" s="18"/>
      <c r="H77" s="19"/>
      <c r="I77" s="19"/>
      <c r="J77" s="19"/>
      <c r="K77" s="19"/>
      <c r="L77" s="19"/>
      <c r="M77" s="19"/>
      <c r="N77" s="19"/>
      <c r="O77" s="19">
        <f t="shared" si="12"/>
        <v>0</v>
      </c>
      <c r="P77" s="19"/>
      <c r="Q77" s="19"/>
      <c r="R77" s="19"/>
      <c r="S77" s="19"/>
      <c r="T77" s="19"/>
      <c r="U77" s="19"/>
      <c r="V77" s="22"/>
    </row>
    <row r="78" spans="1:22" s="59" customFormat="1" ht="18.75" customHeight="1" hidden="1">
      <c r="A78" s="260"/>
      <c r="B78" s="1"/>
      <c r="C78" s="1"/>
      <c r="D78" s="1">
        <f>'ING.MATRIZ'!D71</f>
        <v>142</v>
      </c>
      <c r="E78" s="1"/>
      <c r="F78" s="1"/>
      <c r="G78" s="29" t="str">
        <f>'ING.MATRIZ'!G71</f>
        <v>Venta de Servicios de la Administración Pública.</v>
      </c>
      <c r="H78" s="4">
        <f>SUM(H79:H85)</f>
        <v>0</v>
      </c>
      <c r="I78" s="4">
        <f aca="true" t="shared" si="13" ref="I78:U78">SUM(I79:I85)</f>
        <v>0</v>
      </c>
      <c r="J78" s="4">
        <f t="shared" si="13"/>
        <v>0</v>
      </c>
      <c r="K78" s="4">
        <f t="shared" si="13"/>
        <v>0</v>
      </c>
      <c r="L78" s="4">
        <f t="shared" si="13"/>
        <v>0</v>
      </c>
      <c r="M78" s="4">
        <f t="shared" si="13"/>
        <v>0</v>
      </c>
      <c r="N78" s="4">
        <f t="shared" si="13"/>
        <v>0</v>
      </c>
      <c r="O78" s="4">
        <f t="shared" si="12"/>
        <v>0</v>
      </c>
      <c r="P78" s="4">
        <f t="shared" si="13"/>
        <v>0</v>
      </c>
      <c r="Q78" s="4">
        <f t="shared" si="13"/>
        <v>0</v>
      </c>
      <c r="R78" s="4">
        <f t="shared" si="13"/>
        <v>0</v>
      </c>
      <c r="S78" s="4">
        <f t="shared" si="13"/>
        <v>0</v>
      </c>
      <c r="T78" s="4">
        <f t="shared" si="13"/>
        <v>0</v>
      </c>
      <c r="U78" s="4">
        <f t="shared" si="13"/>
        <v>0</v>
      </c>
      <c r="V78" s="6" t="e">
        <f>U78*100/J78</f>
        <v>#DIV/0!</v>
      </c>
    </row>
    <row r="79" spans="1:22" s="59" customFormat="1" ht="18.75" customHeight="1" hidden="1">
      <c r="A79" s="260"/>
      <c r="B79" s="1"/>
      <c r="C79" s="1"/>
      <c r="D79" s="2"/>
      <c r="E79" s="2"/>
      <c r="F79" s="2"/>
      <c r="G79" s="23"/>
      <c r="H79" s="15"/>
      <c r="I79" s="15"/>
      <c r="J79" s="15"/>
      <c r="K79" s="15"/>
      <c r="L79" s="15"/>
      <c r="M79" s="15"/>
      <c r="N79" s="15"/>
      <c r="O79" s="15">
        <f t="shared" si="12"/>
        <v>0</v>
      </c>
      <c r="P79" s="15"/>
      <c r="Q79" s="15"/>
      <c r="R79" s="15"/>
      <c r="S79" s="15"/>
      <c r="T79" s="15"/>
      <c r="U79" s="15"/>
      <c r="V79" s="6"/>
    </row>
    <row r="80" spans="1:22" s="59" customFormat="1" ht="18.75" customHeight="1" hidden="1">
      <c r="A80" s="260"/>
      <c r="B80" s="1"/>
      <c r="C80" s="1"/>
      <c r="D80" s="2"/>
      <c r="E80" s="2"/>
      <c r="F80" s="2"/>
      <c r="G80" s="23"/>
      <c r="H80" s="15"/>
      <c r="I80" s="15"/>
      <c r="J80" s="15"/>
      <c r="K80" s="15"/>
      <c r="L80" s="15"/>
      <c r="M80" s="15"/>
      <c r="N80" s="15"/>
      <c r="O80" s="15">
        <f t="shared" si="12"/>
        <v>0</v>
      </c>
      <c r="P80" s="15"/>
      <c r="Q80" s="15"/>
      <c r="R80" s="15"/>
      <c r="S80" s="15"/>
      <c r="T80" s="15"/>
      <c r="U80" s="15"/>
      <c r="V80" s="6"/>
    </row>
    <row r="81" spans="1:22" s="59" customFormat="1" ht="18.75" customHeight="1" hidden="1">
      <c r="A81" s="260"/>
      <c r="B81" s="1"/>
      <c r="C81" s="1"/>
      <c r="D81" s="2"/>
      <c r="E81" s="2"/>
      <c r="F81" s="2"/>
      <c r="G81" s="23"/>
      <c r="H81" s="15"/>
      <c r="I81" s="15"/>
      <c r="J81" s="15"/>
      <c r="K81" s="15"/>
      <c r="L81" s="15"/>
      <c r="M81" s="15"/>
      <c r="N81" s="15"/>
      <c r="O81" s="15">
        <f t="shared" si="12"/>
        <v>0</v>
      </c>
      <c r="P81" s="15"/>
      <c r="Q81" s="15"/>
      <c r="R81" s="15"/>
      <c r="S81" s="15"/>
      <c r="T81" s="15"/>
      <c r="U81" s="15"/>
      <c r="V81" s="6"/>
    </row>
    <row r="82" spans="1:22" s="59" customFormat="1" ht="18.75" customHeight="1" hidden="1">
      <c r="A82" s="260"/>
      <c r="B82" s="1"/>
      <c r="C82" s="1"/>
      <c r="D82" s="2"/>
      <c r="E82" s="2"/>
      <c r="F82" s="2"/>
      <c r="G82" s="23"/>
      <c r="H82" s="15"/>
      <c r="I82" s="15"/>
      <c r="J82" s="15"/>
      <c r="K82" s="15"/>
      <c r="L82" s="15"/>
      <c r="M82" s="15"/>
      <c r="N82" s="15"/>
      <c r="O82" s="15">
        <f t="shared" si="12"/>
        <v>0</v>
      </c>
      <c r="P82" s="15"/>
      <c r="Q82" s="15"/>
      <c r="R82" s="15"/>
      <c r="S82" s="15"/>
      <c r="T82" s="15"/>
      <c r="U82" s="15"/>
      <c r="V82" s="6"/>
    </row>
    <row r="83" spans="1:22" s="59" customFormat="1" ht="18.75" customHeight="1" hidden="1">
      <c r="A83" s="260"/>
      <c r="B83" s="1"/>
      <c r="C83" s="1"/>
      <c r="D83" s="2"/>
      <c r="E83" s="2"/>
      <c r="F83" s="2"/>
      <c r="G83" s="23"/>
      <c r="H83" s="15"/>
      <c r="I83" s="15"/>
      <c r="J83" s="15"/>
      <c r="K83" s="15"/>
      <c r="L83" s="15"/>
      <c r="M83" s="15"/>
      <c r="N83" s="15"/>
      <c r="O83" s="15">
        <f t="shared" si="12"/>
        <v>0</v>
      </c>
      <c r="P83" s="15"/>
      <c r="Q83" s="15"/>
      <c r="R83" s="15"/>
      <c r="S83" s="15"/>
      <c r="T83" s="15"/>
      <c r="U83" s="15"/>
      <c r="V83" s="6"/>
    </row>
    <row r="84" spans="1:22" s="59" customFormat="1" ht="18.75" customHeight="1" hidden="1">
      <c r="A84" s="260"/>
      <c r="B84" s="1"/>
      <c r="C84" s="1"/>
      <c r="D84" s="2"/>
      <c r="E84" s="2"/>
      <c r="F84" s="2"/>
      <c r="G84" s="23"/>
      <c r="H84" s="15"/>
      <c r="I84" s="15"/>
      <c r="J84" s="15"/>
      <c r="K84" s="15"/>
      <c r="L84" s="15"/>
      <c r="M84" s="15"/>
      <c r="N84" s="15"/>
      <c r="O84" s="15">
        <f t="shared" si="12"/>
        <v>0</v>
      </c>
      <c r="P84" s="15"/>
      <c r="Q84" s="15"/>
      <c r="R84" s="15"/>
      <c r="S84" s="15"/>
      <c r="T84" s="15"/>
      <c r="U84" s="15"/>
      <c r="V84" s="6"/>
    </row>
    <row r="85" spans="1:22" s="60" customFormat="1" ht="18.75" customHeight="1" hidden="1">
      <c r="A85" s="260"/>
      <c r="B85" s="16"/>
      <c r="C85" s="16"/>
      <c r="D85" s="17"/>
      <c r="E85" s="17"/>
      <c r="F85" s="17"/>
      <c r="G85" s="18"/>
      <c r="H85" s="21"/>
      <c r="I85" s="21"/>
      <c r="J85" s="21"/>
      <c r="K85" s="21"/>
      <c r="L85" s="21"/>
      <c r="M85" s="21"/>
      <c r="N85" s="21"/>
      <c r="O85" s="21">
        <f t="shared" si="12"/>
        <v>0</v>
      </c>
      <c r="P85" s="21"/>
      <c r="Q85" s="21"/>
      <c r="R85" s="21"/>
      <c r="S85" s="21"/>
      <c r="T85" s="21"/>
      <c r="U85" s="21"/>
      <c r="V85" s="22"/>
    </row>
    <row r="86" spans="1:22" s="161" customFormat="1" ht="18">
      <c r="A86" s="259"/>
      <c r="B86" s="1"/>
      <c r="C86" s="1">
        <f>'ING.MATRIZ'!C79</f>
        <v>150</v>
      </c>
      <c r="D86" s="1"/>
      <c r="E86" s="1"/>
      <c r="F86" s="1"/>
      <c r="G86" s="13" t="str">
        <f>'ING.MATRIZ'!G79</f>
        <v>TRANSFERENCIAS CORRIENTES</v>
      </c>
      <c r="H86" s="4">
        <f>+H87</f>
        <v>212235111</v>
      </c>
      <c r="I86" s="4">
        <f aca="true" t="shared" si="14" ref="I86:U86">+I87</f>
        <v>10611755</v>
      </c>
      <c r="J86" s="4">
        <f t="shared" si="14"/>
        <v>222846866</v>
      </c>
      <c r="K86" s="4">
        <f t="shared" si="14"/>
        <v>0</v>
      </c>
      <c r="L86" s="4">
        <f t="shared" si="14"/>
        <v>0</v>
      </c>
      <c r="M86" s="4">
        <f t="shared" si="14"/>
        <v>32195574</v>
      </c>
      <c r="N86" s="4">
        <f t="shared" si="14"/>
        <v>0</v>
      </c>
      <c r="O86" s="4">
        <f t="shared" si="12"/>
        <v>32195574</v>
      </c>
      <c r="P86" s="4">
        <f t="shared" si="14"/>
        <v>0</v>
      </c>
      <c r="Q86" s="4">
        <f t="shared" si="14"/>
        <v>0</v>
      </c>
      <c r="R86" s="4">
        <f t="shared" si="14"/>
        <v>64794234</v>
      </c>
      <c r="S86" s="4">
        <f t="shared" si="14"/>
        <v>5996087</v>
      </c>
      <c r="T86" s="4">
        <f t="shared" si="14"/>
        <v>102985895</v>
      </c>
      <c r="U86" s="4">
        <f t="shared" si="14"/>
        <v>102985895</v>
      </c>
      <c r="V86" s="6">
        <f>U86*100/J86</f>
        <v>46.213750656919714</v>
      </c>
    </row>
    <row r="87" spans="1:22" s="59" customFormat="1" ht="20.25">
      <c r="A87" s="260"/>
      <c r="B87" s="1"/>
      <c r="C87" s="1"/>
      <c r="D87" s="1">
        <f>'ING.MATRIZ'!D80</f>
        <v>153</v>
      </c>
      <c r="E87" s="1"/>
      <c r="F87" s="1"/>
      <c r="G87" s="29" t="str">
        <f>'ING.MATRIZ'!G80</f>
        <v>Transferencias Consolidables de Entidades y Organismos del Estado por Coparticipación</v>
      </c>
      <c r="H87" s="4">
        <f>+H89</f>
        <v>212235111</v>
      </c>
      <c r="I87" s="4">
        <f aca="true" t="shared" si="15" ref="I87:U87">+I89</f>
        <v>10611755</v>
      </c>
      <c r="J87" s="4">
        <f t="shared" si="15"/>
        <v>222846866</v>
      </c>
      <c r="K87" s="4">
        <f t="shared" si="15"/>
        <v>0</v>
      </c>
      <c r="L87" s="4">
        <f t="shared" si="15"/>
        <v>0</v>
      </c>
      <c r="M87" s="4">
        <f t="shared" si="15"/>
        <v>32195574</v>
      </c>
      <c r="N87" s="4">
        <f t="shared" si="15"/>
        <v>0</v>
      </c>
      <c r="O87" s="4">
        <f t="shared" si="12"/>
        <v>32195574</v>
      </c>
      <c r="P87" s="4">
        <f t="shared" si="15"/>
        <v>0</v>
      </c>
      <c r="Q87" s="4">
        <f t="shared" si="15"/>
        <v>0</v>
      </c>
      <c r="R87" s="4">
        <f t="shared" si="15"/>
        <v>64794234</v>
      </c>
      <c r="S87" s="4">
        <f t="shared" si="15"/>
        <v>5996087</v>
      </c>
      <c r="T87" s="4">
        <f t="shared" si="15"/>
        <v>102985895</v>
      </c>
      <c r="U87" s="4">
        <f t="shared" si="15"/>
        <v>102985895</v>
      </c>
      <c r="V87" s="6">
        <f>U87*100/J87</f>
        <v>46.213750656919714</v>
      </c>
    </row>
    <row r="88" spans="1:22" s="59" customFormat="1" ht="18.75" customHeight="1" hidden="1">
      <c r="A88" s="260"/>
      <c r="B88" s="1"/>
      <c r="C88" s="1"/>
      <c r="D88" s="2"/>
      <c r="E88" s="2"/>
      <c r="F88" s="2"/>
      <c r="G88" s="23"/>
      <c r="H88" s="15"/>
      <c r="I88" s="15"/>
      <c r="J88" s="15"/>
      <c r="K88" s="15"/>
      <c r="L88" s="15"/>
      <c r="M88" s="15"/>
      <c r="N88" s="15"/>
      <c r="O88" s="15">
        <f t="shared" si="12"/>
        <v>0</v>
      </c>
      <c r="P88" s="15"/>
      <c r="Q88" s="15"/>
      <c r="R88" s="15"/>
      <c r="S88" s="15"/>
      <c r="T88" s="15"/>
      <c r="U88" s="15"/>
      <c r="V88" s="6"/>
    </row>
    <row r="89" spans="1:22" s="59" customFormat="1" ht="18">
      <c r="A89" s="260"/>
      <c r="B89" s="1"/>
      <c r="C89" s="1"/>
      <c r="D89" s="2" t="str">
        <f>'ING.MATRIZ'!D82</f>
        <v>153</v>
      </c>
      <c r="E89" s="2" t="str">
        <f>'ING.MATRIZ'!E82</f>
        <v>070</v>
      </c>
      <c r="F89" s="2" t="str">
        <f>'ING.MATRIZ'!F82</f>
        <v>003</v>
      </c>
      <c r="G89" s="23" t="str">
        <f>'ING.MATRIZ'!G82</f>
        <v>Aportes del Gobierno Central con FONACIDE 30%</v>
      </c>
      <c r="H89" s="15">
        <f>'ING.MATRIZ'!H82</f>
        <v>212235111</v>
      </c>
      <c r="I89" s="15">
        <f>'ING.MATRIZ'!I82</f>
        <v>10611755</v>
      </c>
      <c r="J89" s="15">
        <f>H89+I89</f>
        <v>222846866</v>
      </c>
      <c r="K89" s="15">
        <v>0</v>
      </c>
      <c r="L89" s="15">
        <v>0</v>
      </c>
      <c r="M89" s="15">
        <v>32195574</v>
      </c>
      <c r="N89" s="15">
        <v>0</v>
      </c>
      <c r="O89" s="15">
        <f t="shared" si="12"/>
        <v>32195574</v>
      </c>
      <c r="P89" s="15"/>
      <c r="Q89" s="15">
        <v>0</v>
      </c>
      <c r="R89" s="15">
        <v>64794234</v>
      </c>
      <c r="S89" s="15">
        <v>5996087</v>
      </c>
      <c r="T89" s="15">
        <f>+O89+P89+Q89+R89+S89</f>
        <v>102985895</v>
      </c>
      <c r="U89" s="15">
        <f>+T89</f>
        <v>102985895</v>
      </c>
      <c r="V89" s="6">
        <f>U89*100/J89</f>
        <v>46.213750656919714</v>
      </c>
    </row>
    <row r="90" spans="1:22" s="59" customFormat="1" ht="18.75" customHeight="1" hidden="1">
      <c r="A90" s="260"/>
      <c r="B90" s="1"/>
      <c r="C90" s="1"/>
      <c r="D90" s="2"/>
      <c r="E90" s="2"/>
      <c r="F90" s="2"/>
      <c r="G90" s="23"/>
      <c r="H90" s="15"/>
      <c r="I90" s="15"/>
      <c r="J90" s="15"/>
      <c r="K90" s="15"/>
      <c r="L90" s="15"/>
      <c r="M90" s="15"/>
      <c r="N90" s="15"/>
      <c r="O90" s="15">
        <f t="shared" si="12"/>
        <v>0</v>
      </c>
      <c r="P90" s="15"/>
      <c r="Q90" s="15"/>
      <c r="R90" s="15"/>
      <c r="S90" s="15"/>
      <c r="T90" s="15"/>
      <c r="U90" s="15"/>
      <c r="V90" s="6"/>
    </row>
    <row r="91" spans="1:22" s="60" customFormat="1" ht="18.75" customHeight="1" hidden="1">
      <c r="A91" s="260"/>
      <c r="B91" s="16"/>
      <c r="C91" s="16"/>
      <c r="D91" s="17"/>
      <c r="E91" s="17"/>
      <c r="F91" s="17"/>
      <c r="G91" s="18"/>
      <c r="H91" s="19"/>
      <c r="I91" s="19"/>
      <c r="J91" s="19"/>
      <c r="K91" s="19"/>
      <c r="L91" s="19"/>
      <c r="M91" s="19"/>
      <c r="N91" s="19"/>
      <c r="O91" s="19">
        <f t="shared" si="12"/>
        <v>0</v>
      </c>
      <c r="P91" s="19"/>
      <c r="Q91" s="19"/>
      <c r="R91" s="19"/>
      <c r="S91" s="19"/>
      <c r="T91" s="19"/>
      <c r="U91" s="19"/>
      <c r="V91" s="22"/>
    </row>
    <row r="92" spans="1:22" s="59" customFormat="1" ht="22.5" customHeight="1" hidden="1">
      <c r="A92" s="260"/>
      <c r="B92" s="1"/>
      <c r="C92" s="1"/>
      <c r="D92" s="1" t="str">
        <f>'ING.MATRIZ'!D85</f>
        <v>154</v>
      </c>
      <c r="E92" s="1"/>
      <c r="F92" s="1"/>
      <c r="G92" s="29" t="str">
        <f>'ING.MATRIZ'!G85</f>
        <v>Transferencias Consolidables de Entidades y Organismos del Estado</v>
      </c>
      <c r="H92" s="4">
        <f aca="true" t="shared" si="16" ref="H92:N92">H93</f>
        <v>0</v>
      </c>
      <c r="I92" s="4">
        <f t="shared" si="16"/>
        <v>0</v>
      </c>
      <c r="J92" s="4">
        <f t="shared" si="16"/>
        <v>0</v>
      </c>
      <c r="K92" s="4">
        <f t="shared" si="16"/>
        <v>0</v>
      </c>
      <c r="L92" s="4">
        <f t="shared" si="16"/>
        <v>0</v>
      </c>
      <c r="M92" s="4">
        <f t="shared" si="16"/>
        <v>0</v>
      </c>
      <c r="N92" s="4">
        <f t="shared" si="16"/>
        <v>0</v>
      </c>
      <c r="O92" s="4">
        <f t="shared" si="12"/>
        <v>0</v>
      </c>
      <c r="P92" s="4">
        <f>P93</f>
        <v>0</v>
      </c>
      <c r="Q92" s="4">
        <f>Q93</f>
        <v>0</v>
      </c>
      <c r="R92" s="4"/>
      <c r="S92" s="4"/>
      <c r="T92" s="4" t="e">
        <f>#REF!+#REF!+#REF!</f>
        <v>#REF!</v>
      </c>
      <c r="U92" s="4" t="e">
        <f>#REF!+#REF!+#REF!</f>
        <v>#REF!</v>
      </c>
      <c r="V92" s="6" t="e">
        <f>U92*100/J92</f>
        <v>#REF!</v>
      </c>
    </row>
    <row r="93" spans="1:22" s="59" customFormat="1" ht="18.75" customHeight="1" hidden="1">
      <c r="A93" s="260"/>
      <c r="B93" s="1"/>
      <c r="C93" s="1"/>
      <c r="D93" s="2"/>
      <c r="E93" s="2"/>
      <c r="F93" s="2"/>
      <c r="G93" s="23"/>
      <c r="H93" s="15"/>
      <c r="I93" s="15"/>
      <c r="J93" s="15"/>
      <c r="K93" s="15"/>
      <c r="L93" s="15"/>
      <c r="M93" s="15"/>
      <c r="N93" s="15"/>
      <c r="O93" s="15">
        <f t="shared" si="12"/>
        <v>0</v>
      </c>
      <c r="P93" s="15"/>
      <c r="Q93" s="15"/>
      <c r="R93" s="15"/>
      <c r="S93" s="15"/>
      <c r="T93" s="15"/>
      <c r="U93" s="15"/>
      <c r="V93" s="6"/>
    </row>
    <row r="94" spans="1:22" s="60" customFormat="1" ht="18.75" customHeight="1" hidden="1">
      <c r="A94" s="260"/>
      <c r="B94" s="16"/>
      <c r="C94" s="16"/>
      <c r="D94" s="17"/>
      <c r="E94" s="17"/>
      <c r="F94" s="17"/>
      <c r="G94" s="18"/>
      <c r="H94" s="19"/>
      <c r="I94" s="19"/>
      <c r="J94" s="19"/>
      <c r="K94" s="19"/>
      <c r="L94" s="19"/>
      <c r="M94" s="19"/>
      <c r="N94" s="19"/>
      <c r="O94" s="19">
        <f t="shared" si="12"/>
        <v>0</v>
      </c>
      <c r="P94" s="19"/>
      <c r="Q94" s="19"/>
      <c r="R94" s="19"/>
      <c r="S94" s="19"/>
      <c r="T94" s="20"/>
      <c r="U94" s="20"/>
      <c r="V94" s="22"/>
    </row>
    <row r="95" spans="1:22" s="59" customFormat="1" ht="18.75" customHeight="1" hidden="1">
      <c r="A95" s="260"/>
      <c r="B95" s="1"/>
      <c r="C95" s="1">
        <f>'ING.MATRIZ'!C88</f>
        <v>160</v>
      </c>
      <c r="D95" s="2"/>
      <c r="E95" s="2"/>
      <c r="F95" s="2"/>
      <c r="G95" s="13" t="str">
        <f>'ING.MATRIZ'!G88</f>
        <v>RENTAS DE LA PROPIEDAD</v>
      </c>
      <c r="H95" s="4">
        <f aca="true" t="shared" si="17" ref="H95:N95">H96+H99</f>
        <v>0</v>
      </c>
      <c r="I95" s="4">
        <f t="shared" si="17"/>
        <v>0</v>
      </c>
      <c r="J95" s="4">
        <f t="shared" si="17"/>
        <v>0</v>
      </c>
      <c r="K95" s="4">
        <f t="shared" si="17"/>
        <v>0</v>
      </c>
      <c r="L95" s="4">
        <f t="shared" si="17"/>
        <v>0</v>
      </c>
      <c r="M95" s="4">
        <f t="shared" si="17"/>
        <v>0</v>
      </c>
      <c r="N95" s="4">
        <f t="shared" si="17"/>
        <v>0</v>
      </c>
      <c r="O95" s="4">
        <f t="shared" si="12"/>
        <v>0</v>
      </c>
      <c r="P95" s="4">
        <f>P96+P99</f>
        <v>0</v>
      </c>
      <c r="Q95" s="4">
        <f>Q96+Q99</f>
        <v>0</v>
      </c>
      <c r="R95" s="4"/>
      <c r="S95" s="4"/>
      <c r="T95" s="28" t="e">
        <f>#REF!+#REF!+#REF!</f>
        <v>#REF!</v>
      </c>
      <c r="U95" s="28" t="e">
        <f>#REF!+#REF!+#REF!</f>
        <v>#REF!</v>
      </c>
      <c r="V95" s="6" t="e">
        <f>U95*100/J95</f>
        <v>#REF!</v>
      </c>
    </row>
    <row r="96" spans="1:22" s="59" customFormat="1" ht="18.75" customHeight="1" hidden="1">
      <c r="A96" s="260"/>
      <c r="B96" s="1"/>
      <c r="C96" s="1"/>
      <c r="D96" s="1" t="str">
        <f>'ING.MATRIZ'!D89</f>
        <v>161</v>
      </c>
      <c r="E96" s="2"/>
      <c r="F96" s="2"/>
      <c r="G96" s="29" t="str">
        <f>'ING.MATRIZ'!G89</f>
        <v>Intereses</v>
      </c>
      <c r="H96" s="4">
        <f aca="true" t="shared" si="18" ref="H96:N96">SUM(H97:H98)</f>
        <v>0</v>
      </c>
      <c r="I96" s="4">
        <f t="shared" si="18"/>
        <v>0</v>
      </c>
      <c r="J96" s="4">
        <f t="shared" si="18"/>
        <v>0</v>
      </c>
      <c r="K96" s="4">
        <f t="shared" si="18"/>
        <v>0</v>
      </c>
      <c r="L96" s="4">
        <f t="shared" si="18"/>
        <v>0</v>
      </c>
      <c r="M96" s="4">
        <f t="shared" si="18"/>
        <v>0</v>
      </c>
      <c r="N96" s="4">
        <f t="shared" si="18"/>
        <v>0</v>
      </c>
      <c r="O96" s="4">
        <f t="shared" si="12"/>
        <v>0</v>
      </c>
      <c r="P96" s="4">
        <f>SUM(P97:P98)</f>
        <v>0</v>
      </c>
      <c r="Q96" s="4">
        <f>SUM(Q97:Q98)</f>
        <v>0</v>
      </c>
      <c r="R96" s="4"/>
      <c r="S96" s="4"/>
      <c r="T96" s="4" t="e">
        <f>#REF!+#REF!+#REF!</f>
        <v>#REF!</v>
      </c>
      <c r="U96" s="4" t="e">
        <f>#REF!+#REF!+#REF!</f>
        <v>#REF!</v>
      </c>
      <c r="V96" s="6" t="e">
        <f>U96*100/J96</f>
        <v>#REF!</v>
      </c>
    </row>
    <row r="97" spans="1:22" s="59" customFormat="1" ht="18.75" customHeight="1" hidden="1">
      <c r="A97" s="260"/>
      <c r="B97" s="1"/>
      <c r="C97" s="1"/>
      <c r="D97" s="2"/>
      <c r="E97" s="2"/>
      <c r="F97" s="2"/>
      <c r="G97" s="23"/>
      <c r="H97" s="15"/>
      <c r="I97" s="15"/>
      <c r="J97" s="15"/>
      <c r="K97" s="15"/>
      <c r="L97" s="15"/>
      <c r="M97" s="15"/>
      <c r="N97" s="15"/>
      <c r="O97" s="15">
        <f t="shared" si="12"/>
        <v>0</v>
      </c>
      <c r="P97" s="15"/>
      <c r="Q97" s="15"/>
      <c r="R97" s="15"/>
      <c r="S97" s="15"/>
      <c r="T97" s="15"/>
      <c r="U97" s="15"/>
      <c r="V97" s="6"/>
    </row>
    <row r="98" spans="1:22" s="59" customFormat="1" ht="18.75" customHeight="1" hidden="1">
      <c r="A98" s="260"/>
      <c r="B98" s="2"/>
      <c r="C98" s="2"/>
      <c r="D98" s="2"/>
      <c r="E98" s="2"/>
      <c r="F98" s="2"/>
      <c r="G98" s="23"/>
      <c r="H98" s="15"/>
      <c r="I98" s="15"/>
      <c r="J98" s="15"/>
      <c r="K98" s="15"/>
      <c r="L98" s="15"/>
      <c r="M98" s="15"/>
      <c r="N98" s="15"/>
      <c r="O98" s="15">
        <f t="shared" si="12"/>
        <v>0</v>
      </c>
      <c r="P98" s="15"/>
      <c r="Q98" s="15"/>
      <c r="R98" s="15"/>
      <c r="S98" s="15"/>
      <c r="T98" s="15"/>
      <c r="U98" s="15"/>
      <c r="V98" s="6"/>
    </row>
    <row r="99" spans="1:22" s="59" customFormat="1" ht="18.75" customHeight="1" hidden="1">
      <c r="A99" s="260"/>
      <c r="B99" s="1"/>
      <c r="C99" s="1"/>
      <c r="D99" s="1">
        <f>'ING.MATRIZ'!D92</f>
        <v>163</v>
      </c>
      <c r="E99" s="2"/>
      <c r="F99" s="2"/>
      <c r="G99" s="29" t="str">
        <f>'ING.MATRIZ'!G92</f>
        <v>Arrendamiento de Inmuebles, Tierras, Terrenos y Otros.-</v>
      </c>
      <c r="H99" s="4">
        <f aca="true" t="shared" si="19" ref="H99:N99">SUM(H100:H114)</f>
        <v>0</v>
      </c>
      <c r="I99" s="4">
        <f t="shared" si="19"/>
        <v>0</v>
      </c>
      <c r="J99" s="4">
        <f t="shared" si="19"/>
        <v>0</v>
      </c>
      <c r="K99" s="4">
        <f t="shared" si="19"/>
        <v>0</v>
      </c>
      <c r="L99" s="4">
        <f t="shared" si="19"/>
        <v>0</v>
      </c>
      <c r="M99" s="4">
        <f t="shared" si="19"/>
        <v>0</v>
      </c>
      <c r="N99" s="4">
        <f t="shared" si="19"/>
        <v>0</v>
      </c>
      <c r="O99" s="4">
        <f t="shared" si="12"/>
        <v>0</v>
      </c>
      <c r="P99" s="4">
        <f>SUM(P100:P114)</f>
        <v>0</v>
      </c>
      <c r="Q99" s="4">
        <f>SUM(Q100:Q114)</f>
        <v>0</v>
      </c>
      <c r="R99" s="4"/>
      <c r="S99" s="4"/>
      <c r="T99" s="4" t="e">
        <f>#REF!+#REF!+#REF!</f>
        <v>#REF!</v>
      </c>
      <c r="U99" s="4" t="e">
        <f>#REF!+#REF!+#REF!</f>
        <v>#REF!</v>
      </c>
      <c r="V99" s="6" t="e">
        <f>U99*100/J99</f>
        <v>#REF!</v>
      </c>
    </row>
    <row r="100" spans="1:22" s="59" customFormat="1" ht="18.75" customHeight="1" hidden="1">
      <c r="A100" s="260"/>
      <c r="B100" s="1"/>
      <c r="C100" s="1"/>
      <c r="D100" s="2"/>
      <c r="E100" s="2"/>
      <c r="F100" s="2"/>
      <c r="G100" s="23"/>
      <c r="H100" s="15"/>
      <c r="I100" s="15"/>
      <c r="J100" s="15"/>
      <c r="K100" s="15"/>
      <c r="L100" s="15"/>
      <c r="M100" s="15"/>
      <c r="N100" s="15"/>
      <c r="O100" s="15">
        <f t="shared" si="12"/>
        <v>0</v>
      </c>
      <c r="P100" s="15"/>
      <c r="Q100" s="15"/>
      <c r="R100" s="15"/>
      <c r="S100" s="15"/>
      <c r="T100" s="15"/>
      <c r="U100" s="15"/>
      <c r="V100" s="6"/>
    </row>
    <row r="101" spans="1:22" s="59" customFormat="1" ht="18.75" customHeight="1" hidden="1">
      <c r="A101" s="260"/>
      <c r="B101" s="1"/>
      <c r="C101" s="1"/>
      <c r="D101" s="2"/>
      <c r="E101" s="2"/>
      <c r="F101" s="2"/>
      <c r="G101" s="23"/>
      <c r="H101" s="15"/>
      <c r="I101" s="15"/>
      <c r="J101" s="15"/>
      <c r="K101" s="15"/>
      <c r="L101" s="15"/>
      <c r="M101" s="15"/>
      <c r="N101" s="15"/>
      <c r="O101" s="15">
        <f t="shared" si="12"/>
        <v>0</v>
      </c>
      <c r="P101" s="15"/>
      <c r="Q101" s="15"/>
      <c r="R101" s="15"/>
      <c r="S101" s="15"/>
      <c r="T101" s="15"/>
      <c r="U101" s="15"/>
      <c r="V101" s="6"/>
    </row>
    <row r="102" spans="1:22" s="59" customFormat="1" ht="18.75" customHeight="1" hidden="1">
      <c r="A102" s="260"/>
      <c r="B102" s="1"/>
      <c r="C102" s="1"/>
      <c r="D102" s="2"/>
      <c r="E102" s="2"/>
      <c r="F102" s="2"/>
      <c r="G102" s="23"/>
      <c r="H102" s="15"/>
      <c r="I102" s="15"/>
      <c r="J102" s="15"/>
      <c r="K102" s="15"/>
      <c r="L102" s="15"/>
      <c r="M102" s="15"/>
      <c r="N102" s="15"/>
      <c r="O102" s="15">
        <f t="shared" si="12"/>
        <v>0</v>
      </c>
      <c r="P102" s="15"/>
      <c r="Q102" s="15"/>
      <c r="R102" s="15"/>
      <c r="S102" s="15"/>
      <c r="T102" s="15"/>
      <c r="U102" s="15"/>
      <c r="V102" s="6"/>
    </row>
    <row r="103" spans="1:22" s="59" customFormat="1" ht="18.75" customHeight="1" hidden="1">
      <c r="A103" s="260"/>
      <c r="B103" s="1"/>
      <c r="C103" s="1"/>
      <c r="D103" s="2"/>
      <c r="E103" s="2"/>
      <c r="F103" s="2"/>
      <c r="G103" s="23"/>
      <c r="H103" s="15"/>
      <c r="I103" s="15"/>
      <c r="J103" s="15"/>
      <c r="K103" s="15"/>
      <c r="L103" s="15"/>
      <c r="M103" s="15"/>
      <c r="N103" s="15"/>
      <c r="O103" s="15">
        <f t="shared" si="12"/>
        <v>0</v>
      </c>
      <c r="P103" s="15"/>
      <c r="Q103" s="15"/>
      <c r="R103" s="15"/>
      <c r="S103" s="15"/>
      <c r="T103" s="15"/>
      <c r="U103" s="15"/>
      <c r="V103" s="6"/>
    </row>
    <row r="104" spans="1:22" s="59" customFormat="1" ht="18.75" customHeight="1" hidden="1">
      <c r="A104" s="260"/>
      <c r="B104" s="1"/>
      <c r="C104" s="1"/>
      <c r="D104" s="2"/>
      <c r="E104" s="2"/>
      <c r="F104" s="2"/>
      <c r="G104" s="23"/>
      <c r="H104" s="15"/>
      <c r="I104" s="15"/>
      <c r="J104" s="15"/>
      <c r="K104" s="15"/>
      <c r="L104" s="15"/>
      <c r="M104" s="15"/>
      <c r="N104" s="15"/>
      <c r="O104" s="15">
        <f t="shared" si="12"/>
        <v>0</v>
      </c>
      <c r="P104" s="15"/>
      <c r="Q104" s="15"/>
      <c r="R104" s="15"/>
      <c r="S104" s="15"/>
      <c r="T104" s="15"/>
      <c r="U104" s="15"/>
      <c r="V104" s="6"/>
    </row>
    <row r="105" spans="1:22" s="59" customFormat="1" ht="18.75" customHeight="1" hidden="1">
      <c r="A105" s="260"/>
      <c r="B105" s="1"/>
      <c r="C105" s="1"/>
      <c r="D105" s="2"/>
      <c r="E105" s="2"/>
      <c r="F105" s="2"/>
      <c r="G105" s="23"/>
      <c r="H105" s="15"/>
      <c r="I105" s="15"/>
      <c r="J105" s="15"/>
      <c r="K105" s="15"/>
      <c r="L105" s="15"/>
      <c r="M105" s="15"/>
      <c r="N105" s="15"/>
      <c r="O105" s="15">
        <f t="shared" si="12"/>
        <v>0</v>
      </c>
      <c r="P105" s="15"/>
      <c r="Q105" s="15"/>
      <c r="R105" s="15"/>
      <c r="S105" s="15"/>
      <c r="T105" s="15"/>
      <c r="U105" s="15"/>
      <c r="V105" s="6"/>
    </row>
    <row r="106" spans="1:22" s="59" customFormat="1" ht="18.75" customHeight="1" hidden="1">
      <c r="A106" s="260"/>
      <c r="B106" s="1"/>
      <c r="C106" s="1"/>
      <c r="D106" s="2"/>
      <c r="E106" s="2"/>
      <c r="F106" s="2"/>
      <c r="G106" s="23"/>
      <c r="H106" s="15"/>
      <c r="I106" s="15"/>
      <c r="J106" s="15"/>
      <c r="K106" s="15"/>
      <c r="L106" s="15"/>
      <c r="M106" s="15"/>
      <c r="N106" s="15"/>
      <c r="O106" s="15">
        <f t="shared" si="12"/>
        <v>0</v>
      </c>
      <c r="P106" s="15"/>
      <c r="Q106" s="15"/>
      <c r="R106" s="15"/>
      <c r="S106" s="15"/>
      <c r="T106" s="15"/>
      <c r="U106" s="15"/>
      <c r="V106" s="6"/>
    </row>
    <row r="107" spans="1:22" s="59" customFormat="1" ht="18.75" customHeight="1" hidden="1">
      <c r="A107" s="260"/>
      <c r="B107" s="1"/>
      <c r="C107" s="1"/>
      <c r="D107" s="2"/>
      <c r="E107" s="2"/>
      <c r="F107" s="2"/>
      <c r="G107" s="23"/>
      <c r="H107" s="15"/>
      <c r="I107" s="15"/>
      <c r="J107" s="15"/>
      <c r="K107" s="15"/>
      <c r="L107" s="15"/>
      <c r="M107" s="15"/>
      <c r="N107" s="15"/>
      <c r="O107" s="15">
        <f t="shared" si="12"/>
        <v>0</v>
      </c>
      <c r="P107" s="15"/>
      <c r="Q107" s="15"/>
      <c r="R107" s="15"/>
      <c r="S107" s="15"/>
      <c r="T107" s="15"/>
      <c r="U107" s="15"/>
      <c r="V107" s="6"/>
    </row>
    <row r="108" spans="1:22" s="59" customFormat="1" ht="18.75" customHeight="1" hidden="1">
      <c r="A108" s="260"/>
      <c r="B108" s="1"/>
      <c r="C108" s="1"/>
      <c r="D108" s="2"/>
      <c r="E108" s="2"/>
      <c r="F108" s="2"/>
      <c r="G108" s="23"/>
      <c r="H108" s="15"/>
      <c r="I108" s="15"/>
      <c r="J108" s="15"/>
      <c r="K108" s="15"/>
      <c r="L108" s="15"/>
      <c r="M108" s="15"/>
      <c r="N108" s="15"/>
      <c r="O108" s="15">
        <f t="shared" si="12"/>
        <v>0</v>
      </c>
      <c r="P108" s="15"/>
      <c r="Q108" s="15"/>
      <c r="R108" s="15"/>
      <c r="S108" s="15"/>
      <c r="T108" s="15"/>
      <c r="U108" s="15"/>
      <c r="V108" s="6"/>
    </row>
    <row r="109" spans="1:22" s="59" customFormat="1" ht="18.75" customHeight="1" hidden="1">
      <c r="A109" s="260"/>
      <c r="B109" s="1"/>
      <c r="C109" s="1"/>
      <c r="D109" s="2"/>
      <c r="E109" s="2"/>
      <c r="F109" s="2"/>
      <c r="G109" s="23"/>
      <c r="H109" s="15"/>
      <c r="I109" s="15"/>
      <c r="J109" s="15"/>
      <c r="K109" s="15"/>
      <c r="L109" s="15"/>
      <c r="M109" s="15"/>
      <c r="N109" s="15"/>
      <c r="O109" s="15">
        <f t="shared" si="12"/>
        <v>0</v>
      </c>
      <c r="P109" s="15"/>
      <c r="Q109" s="15"/>
      <c r="R109" s="15"/>
      <c r="S109" s="15"/>
      <c r="T109" s="15"/>
      <c r="U109" s="15"/>
      <c r="V109" s="6"/>
    </row>
    <row r="110" spans="1:22" s="59" customFormat="1" ht="18.75" customHeight="1" hidden="1">
      <c r="A110" s="260"/>
      <c r="B110" s="1"/>
      <c r="C110" s="1"/>
      <c r="D110" s="2"/>
      <c r="E110" s="2"/>
      <c r="F110" s="2"/>
      <c r="G110" s="23"/>
      <c r="H110" s="15"/>
      <c r="I110" s="15"/>
      <c r="J110" s="15"/>
      <c r="K110" s="15"/>
      <c r="L110" s="15"/>
      <c r="M110" s="15"/>
      <c r="N110" s="15"/>
      <c r="O110" s="15">
        <f t="shared" si="12"/>
        <v>0</v>
      </c>
      <c r="P110" s="15"/>
      <c r="Q110" s="15"/>
      <c r="R110" s="15"/>
      <c r="S110" s="15"/>
      <c r="T110" s="15"/>
      <c r="U110" s="15"/>
      <c r="V110" s="6"/>
    </row>
    <row r="111" spans="1:22" s="59" customFormat="1" ht="18.75" customHeight="1" hidden="1">
      <c r="A111" s="260"/>
      <c r="B111" s="1"/>
      <c r="C111" s="1"/>
      <c r="D111" s="2"/>
      <c r="E111" s="2"/>
      <c r="F111" s="2"/>
      <c r="G111" s="23"/>
      <c r="H111" s="15"/>
      <c r="I111" s="15"/>
      <c r="J111" s="15"/>
      <c r="K111" s="15"/>
      <c r="L111" s="15"/>
      <c r="M111" s="15"/>
      <c r="N111" s="15"/>
      <c r="O111" s="15">
        <f t="shared" si="12"/>
        <v>0</v>
      </c>
      <c r="P111" s="15"/>
      <c r="Q111" s="15"/>
      <c r="R111" s="15"/>
      <c r="S111" s="15"/>
      <c r="T111" s="15"/>
      <c r="U111" s="15"/>
      <c r="V111" s="6"/>
    </row>
    <row r="112" spans="1:22" s="59" customFormat="1" ht="18.75" customHeight="1" hidden="1">
      <c r="A112" s="260"/>
      <c r="B112" s="1"/>
      <c r="C112" s="1"/>
      <c r="D112" s="2"/>
      <c r="E112" s="2"/>
      <c r="F112" s="2"/>
      <c r="G112" s="23"/>
      <c r="H112" s="15"/>
      <c r="I112" s="15"/>
      <c r="J112" s="15"/>
      <c r="K112" s="15"/>
      <c r="L112" s="15"/>
      <c r="M112" s="15"/>
      <c r="N112" s="15"/>
      <c r="O112" s="15">
        <f t="shared" si="12"/>
        <v>0</v>
      </c>
      <c r="P112" s="15"/>
      <c r="Q112" s="15"/>
      <c r="R112" s="15"/>
      <c r="S112" s="15"/>
      <c r="T112" s="15"/>
      <c r="U112" s="15"/>
      <c r="V112" s="6"/>
    </row>
    <row r="113" spans="1:22" s="59" customFormat="1" ht="18.75" customHeight="1" hidden="1">
      <c r="A113" s="260"/>
      <c r="B113" s="1"/>
      <c r="C113" s="1"/>
      <c r="D113" s="2"/>
      <c r="E113" s="2"/>
      <c r="F113" s="2"/>
      <c r="G113" s="23"/>
      <c r="H113" s="15"/>
      <c r="I113" s="15"/>
      <c r="J113" s="15"/>
      <c r="K113" s="15"/>
      <c r="L113" s="15"/>
      <c r="M113" s="15"/>
      <c r="N113" s="15"/>
      <c r="O113" s="15">
        <f t="shared" si="12"/>
        <v>0</v>
      </c>
      <c r="P113" s="15"/>
      <c r="Q113" s="15"/>
      <c r="R113" s="15"/>
      <c r="S113" s="15"/>
      <c r="T113" s="15"/>
      <c r="U113" s="15"/>
      <c r="V113" s="6"/>
    </row>
    <row r="114" spans="1:22" s="59" customFormat="1" ht="18.75" customHeight="1" hidden="1">
      <c r="A114" s="260"/>
      <c r="B114" s="1"/>
      <c r="C114" s="1"/>
      <c r="D114" s="2"/>
      <c r="E114" s="2"/>
      <c r="F114" s="2"/>
      <c r="G114" s="23"/>
      <c r="H114" s="15"/>
      <c r="I114" s="15"/>
      <c r="J114" s="15"/>
      <c r="K114" s="15"/>
      <c r="L114" s="15"/>
      <c r="M114" s="15"/>
      <c r="N114" s="15"/>
      <c r="O114" s="15">
        <f t="shared" si="12"/>
        <v>0</v>
      </c>
      <c r="P114" s="15"/>
      <c r="Q114" s="15"/>
      <c r="R114" s="15"/>
      <c r="S114" s="15"/>
      <c r="T114" s="15"/>
      <c r="U114" s="15"/>
      <c r="V114" s="6"/>
    </row>
    <row r="115" spans="1:22" s="60" customFormat="1" ht="18.75" customHeight="1" hidden="1">
      <c r="A115" s="260"/>
      <c r="B115" s="16"/>
      <c r="C115" s="16"/>
      <c r="D115" s="17"/>
      <c r="E115" s="17"/>
      <c r="F115" s="17"/>
      <c r="G115" s="18"/>
      <c r="H115" s="19"/>
      <c r="I115" s="19"/>
      <c r="J115" s="19"/>
      <c r="K115" s="19"/>
      <c r="L115" s="19"/>
      <c r="M115" s="19"/>
      <c r="N115" s="19"/>
      <c r="O115" s="19">
        <f t="shared" si="12"/>
        <v>0</v>
      </c>
      <c r="P115" s="19"/>
      <c r="Q115" s="19"/>
      <c r="R115" s="19"/>
      <c r="S115" s="19"/>
      <c r="T115" s="19"/>
      <c r="U115" s="19"/>
      <c r="V115" s="22"/>
    </row>
    <row r="116" spans="1:22" s="59" customFormat="1" ht="18.75" customHeight="1" hidden="1">
      <c r="A116" s="260"/>
      <c r="B116" s="1"/>
      <c r="C116" s="1" t="str">
        <f>'ING.MATRIZ'!C109</f>
        <v>180</v>
      </c>
      <c r="D116" s="1"/>
      <c r="E116" s="1"/>
      <c r="F116" s="1"/>
      <c r="G116" s="13" t="str">
        <f>'ING.MATRIZ'!G109</f>
        <v>DONACIONES CORRIENTES</v>
      </c>
      <c r="H116" s="4">
        <f aca="true" t="shared" si="20" ref="H116:N116">H117+H120</f>
        <v>0</v>
      </c>
      <c r="I116" s="4">
        <f t="shared" si="20"/>
        <v>0</v>
      </c>
      <c r="J116" s="4">
        <f t="shared" si="20"/>
        <v>0</v>
      </c>
      <c r="K116" s="4">
        <f t="shared" si="20"/>
        <v>0</v>
      </c>
      <c r="L116" s="4">
        <f t="shared" si="20"/>
        <v>0</v>
      </c>
      <c r="M116" s="4">
        <f t="shared" si="20"/>
        <v>0</v>
      </c>
      <c r="N116" s="4">
        <f t="shared" si="20"/>
        <v>0</v>
      </c>
      <c r="O116" s="4">
        <f t="shared" si="12"/>
        <v>0</v>
      </c>
      <c r="P116" s="4">
        <f>P117+P120</f>
        <v>0</v>
      </c>
      <c r="Q116" s="4">
        <f>Q117+Q120</f>
        <v>0</v>
      </c>
      <c r="R116" s="4"/>
      <c r="S116" s="4"/>
      <c r="T116" s="4" t="e">
        <f>#REF!+#REF!+#REF!</f>
        <v>#REF!</v>
      </c>
      <c r="U116" s="4" t="e">
        <f>#REF!+#REF!+#REF!</f>
        <v>#REF!</v>
      </c>
      <c r="V116" s="6" t="e">
        <f>U116*100/J116</f>
        <v>#REF!</v>
      </c>
    </row>
    <row r="117" spans="1:22" s="59" customFormat="1" ht="18.75" customHeight="1" hidden="1">
      <c r="A117" s="260"/>
      <c r="B117" s="1"/>
      <c r="C117" s="1"/>
      <c r="D117" s="1" t="str">
        <f>'ING.MATRIZ'!D110</f>
        <v>181</v>
      </c>
      <c r="E117" s="1"/>
      <c r="F117" s="1"/>
      <c r="G117" s="13" t="str">
        <f>'ING.MATRIZ'!G110</f>
        <v>Donaciones Nacionales</v>
      </c>
      <c r="H117" s="4">
        <f aca="true" t="shared" si="21" ref="H117:N117">H118</f>
        <v>0</v>
      </c>
      <c r="I117" s="4">
        <f t="shared" si="21"/>
        <v>0</v>
      </c>
      <c r="J117" s="4">
        <f t="shared" si="21"/>
        <v>0</v>
      </c>
      <c r="K117" s="4">
        <f t="shared" si="21"/>
        <v>0</v>
      </c>
      <c r="L117" s="4">
        <f t="shared" si="21"/>
        <v>0</v>
      </c>
      <c r="M117" s="4">
        <f t="shared" si="21"/>
        <v>0</v>
      </c>
      <c r="N117" s="4">
        <f t="shared" si="21"/>
        <v>0</v>
      </c>
      <c r="O117" s="4">
        <f t="shared" si="12"/>
        <v>0</v>
      </c>
      <c r="P117" s="4">
        <f>P118</f>
        <v>0</v>
      </c>
      <c r="Q117" s="4">
        <f>Q118</f>
        <v>0</v>
      </c>
      <c r="R117" s="4"/>
      <c r="S117" s="4"/>
      <c r="T117" s="4" t="e">
        <f>#REF!+#REF!+#REF!</f>
        <v>#REF!</v>
      </c>
      <c r="U117" s="4" t="e">
        <f>#REF!+#REF!+#REF!</f>
        <v>#REF!</v>
      </c>
      <c r="V117" s="6" t="e">
        <f>U117*100/J117</f>
        <v>#REF!</v>
      </c>
    </row>
    <row r="118" spans="1:22" s="59" customFormat="1" ht="18.75" customHeight="1" hidden="1">
      <c r="A118" s="260"/>
      <c r="B118" s="2"/>
      <c r="C118" s="2"/>
      <c r="D118" s="2"/>
      <c r="E118" s="2"/>
      <c r="F118" s="2"/>
      <c r="G118" s="23"/>
      <c r="H118" s="15"/>
      <c r="I118" s="15"/>
      <c r="J118" s="15"/>
      <c r="K118" s="15"/>
      <c r="L118" s="15"/>
      <c r="M118" s="15"/>
      <c r="N118" s="15"/>
      <c r="O118" s="15">
        <f t="shared" si="12"/>
        <v>0</v>
      </c>
      <c r="P118" s="15"/>
      <c r="Q118" s="15"/>
      <c r="R118" s="15"/>
      <c r="S118" s="15"/>
      <c r="T118" s="15"/>
      <c r="U118" s="15"/>
      <c r="V118" s="6"/>
    </row>
    <row r="119" spans="1:22" s="59" customFormat="1" ht="18.75" customHeight="1" hidden="1">
      <c r="A119" s="260"/>
      <c r="B119" s="2"/>
      <c r="C119" s="2"/>
      <c r="D119" s="2"/>
      <c r="E119" s="2"/>
      <c r="F119" s="2"/>
      <c r="G119" s="23"/>
      <c r="H119" s="15"/>
      <c r="I119" s="15"/>
      <c r="J119" s="15"/>
      <c r="K119" s="15"/>
      <c r="L119" s="15"/>
      <c r="M119" s="15"/>
      <c r="N119" s="15"/>
      <c r="O119" s="15">
        <f t="shared" si="12"/>
        <v>0</v>
      </c>
      <c r="P119" s="15"/>
      <c r="Q119" s="15"/>
      <c r="R119" s="15"/>
      <c r="S119" s="15"/>
      <c r="T119" s="15"/>
      <c r="U119" s="15"/>
      <c r="V119" s="6"/>
    </row>
    <row r="120" spans="1:22" s="59" customFormat="1" ht="18.75" customHeight="1" hidden="1">
      <c r="A120" s="260"/>
      <c r="B120" s="1"/>
      <c r="C120" s="1"/>
      <c r="D120" s="1" t="str">
        <f>'ING.MATRIZ'!D113</f>
        <v>182</v>
      </c>
      <c r="E120" s="1"/>
      <c r="F120" s="1"/>
      <c r="G120" s="13" t="str">
        <f>'ING.MATRIZ'!G113</f>
        <v>Donaciones del Exterior</v>
      </c>
      <c r="H120" s="4">
        <f aca="true" t="shared" si="22" ref="H120:N120">H121</f>
        <v>0</v>
      </c>
      <c r="I120" s="4">
        <f t="shared" si="22"/>
        <v>0</v>
      </c>
      <c r="J120" s="4">
        <f t="shared" si="22"/>
        <v>0</v>
      </c>
      <c r="K120" s="4">
        <f t="shared" si="22"/>
        <v>0</v>
      </c>
      <c r="L120" s="4">
        <f t="shared" si="22"/>
        <v>0</v>
      </c>
      <c r="M120" s="4">
        <f t="shared" si="22"/>
        <v>0</v>
      </c>
      <c r="N120" s="4">
        <f t="shared" si="22"/>
        <v>0</v>
      </c>
      <c r="O120" s="4">
        <f t="shared" si="12"/>
        <v>0</v>
      </c>
      <c r="P120" s="4">
        <f>P121</f>
        <v>0</v>
      </c>
      <c r="Q120" s="4">
        <f>Q121</f>
        <v>0</v>
      </c>
      <c r="R120" s="4"/>
      <c r="S120" s="4"/>
      <c r="T120" s="4" t="e">
        <f>#REF!+#REF!+#REF!</f>
        <v>#REF!</v>
      </c>
      <c r="U120" s="4" t="e">
        <f>#REF!+#REF!+#REF!</f>
        <v>#REF!</v>
      </c>
      <c r="V120" s="6" t="e">
        <f>U120*100/J120</f>
        <v>#REF!</v>
      </c>
    </row>
    <row r="121" spans="1:22" s="59" customFormat="1" ht="18.75" customHeight="1" hidden="1">
      <c r="A121" s="260"/>
      <c r="B121" s="2"/>
      <c r="C121" s="2"/>
      <c r="D121" s="2"/>
      <c r="E121" s="2"/>
      <c r="F121" s="2"/>
      <c r="G121" s="23"/>
      <c r="H121" s="15"/>
      <c r="I121" s="15"/>
      <c r="J121" s="15"/>
      <c r="K121" s="15"/>
      <c r="L121" s="15"/>
      <c r="M121" s="15"/>
      <c r="N121" s="15"/>
      <c r="O121" s="15">
        <f t="shared" si="12"/>
        <v>0</v>
      </c>
      <c r="P121" s="15"/>
      <c r="Q121" s="15"/>
      <c r="R121" s="15"/>
      <c r="S121" s="15"/>
      <c r="T121" s="15"/>
      <c r="U121" s="15"/>
      <c r="V121" s="6"/>
    </row>
    <row r="122" spans="1:22" s="60" customFormat="1" ht="18.75" customHeight="1" hidden="1">
      <c r="A122" s="260"/>
      <c r="B122" s="17"/>
      <c r="C122" s="17"/>
      <c r="D122" s="17"/>
      <c r="E122" s="17"/>
      <c r="F122" s="17"/>
      <c r="G122" s="18"/>
      <c r="H122" s="19"/>
      <c r="I122" s="19"/>
      <c r="J122" s="19"/>
      <c r="K122" s="19"/>
      <c r="L122" s="19"/>
      <c r="M122" s="19"/>
      <c r="N122" s="19"/>
      <c r="O122" s="19">
        <f t="shared" si="12"/>
        <v>0</v>
      </c>
      <c r="P122" s="19"/>
      <c r="Q122" s="19"/>
      <c r="R122" s="19"/>
      <c r="S122" s="19"/>
      <c r="T122" s="19"/>
      <c r="U122" s="19"/>
      <c r="V122" s="22"/>
    </row>
    <row r="123" spans="1:22" s="59" customFormat="1" ht="18.75" customHeight="1" hidden="1">
      <c r="A123" s="260"/>
      <c r="B123" s="1"/>
      <c r="C123" s="1" t="str">
        <f>'ING.MATRIZ'!C116</f>
        <v>190</v>
      </c>
      <c r="D123" s="1"/>
      <c r="E123" s="1"/>
      <c r="F123" s="1"/>
      <c r="G123" s="13" t="str">
        <f>'ING.MATRIZ'!G116</f>
        <v>OTROS RECURSOS CORRIENTES</v>
      </c>
      <c r="H123" s="4">
        <f aca="true" t="shared" si="23" ref="H123:N123">H124</f>
        <v>0</v>
      </c>
      <c r="I123" s="4">
        <f t="shared" si="23"/>
        <v>0</v>
      </c>
      <c r="J123" s="4">
        <f t="shared" si="23"/>
        <v>0</v>
      </c>
      <c r="K123" s="4">
        <f t="shared" si="23"/>
        <v>0</v>
      </c>
      <c r="L123" s="4">
        <f t="shared" si="23"/>
        <v>0</v>
      </c>
      <c r="M123" s="4">
        <f t="shared" si="23"/>
        <v>0</v>
      </c>
      <c r="N123" s="4">
        <f t="shared" si="23"/>
        <v>0</v>
      </c>
      <c r="O123" s="4">
        <f t="shared" si="12"/>
        <v>0</v>
      </c>
      <c r="P123" s="4">
        <f>P124</f>
        <v>0</v>
      </c>
      <c r="Q123" s="4">
        <f>Q124</f>
        <v>0</v>
      </c>
      <c r="R123" s="4"/>
      <c r="S123" s="4"/>
      <c r="T123" s="4" t="e">
        <f>#REF!+#REF!+#REF!</f>
        <v>#REF!</v>
      </c>
      <c r="U123" s="4" t="e">
        <f>#REF!+#REF!+#REF!</f>
        <v>#REF!</v>
      </c>
      <c r="V123" s="6" t="e">
        <f>U123*100/J123</f>
        <v>#REF!</v>
      </c>
    </row>
    <row r="124" spans="1:22" s="59" customFormat="1" ht="18.75" customHeight="1" hidden="1">
      <c r="A124" s="260"/>
      <c r="B124" s="1"/>
      <c r="C124" s="1"/>
      <c r="D124" s="1" t="str">
        <f>'ING.MATRIZ'!D117</f>
        <v>191</v>
      </c>
      <c r="E124" s="1"/>
      <c r="F124" s="1"/>
      <c r="G124" s="13" t="str">
        <f>'ING.MATRIZ'!G117</f>
        <v>Otros Recursos</v>
      </c>
      <c r="H124" s="4">
        <f aca="true" t="shared" si="24" ref="H124:N124">SUM(H125:H126)</f>
        <v>0</v>
      </c>
      <c r="I124" s="4">
        <f t="shared" si="24"/>
        <v>0</v>
      </c>
      <c r="J124" s="4">
        <f t="shared" si="24"/>
        <v>0</v>
      </c>
      <c r="K124" s="4">
        <f t="shared" si="24"/>
        <v>0</v>
      </c>
      <c r="L124" s="4">
        <f t="shared" si="24"/>
        <v>0</v>
      </c>
      <c r="M124" s="4">
        <f t="shared" si="24"/>
        <v>0</v>
      </c>
      <c r="N124" s="4">
        <f t="shared" si="24"/>
        <v>0</v>
      </c>
      <c r="O124" s="4">
        <f t="shared" si="12"/>
        <v>0</v>
      </c>
      <c r="P124" s="4">
        <f>SUM(P125:P126)</f>
        <v>0</v>
      </c>
      <c r="Q124" s="4">
        <f>SUM(Q125:Q126)</f>
        <v>0</v>
      </c>
      <c r="R124" s="4"/>
      <c r="S124" s="4"/>
      <c r="T124" s="4" t="e">
        <f>#REF!+#REF!+#REF!</f>
        <v>#REF!</v>
      </c>
      <c r="U124" s="4" t="e">
        <f>#REF!+#REF!+#REF!</f>
        <v>#REF!</v>
      </c>
      <c r="V124" s="6" t="e">
        <f>U124*100/J124</f>
        <v>#REF!</v>
      </c>
    </row>
    <row r="125" spans="1:22" s="59" customFormat="1" ht="18.75" customHeight="1" hidden="1">
      <c r="A125" s="260"/>
      <c r="B125" s="2"/>
      <c r="C125" s="2"/>
      <c r="D125" s="2"/>
      <c r="E125" s="2"/>
      <c r="F125" s="2"/>
      <c r="G125" s="23"/>
      <c r="H125" s="15"/>
      <c r="I125" s="15"/>
      <c r="J125" s="15"/>
      <c r="K125" s="15"/>
      <c r="L125" s="15"/>
      <c r="M125" s="15"/>
      <c r="N125" s="15"/>
      <c r="O125" s="15">
        <f t="shared" si="12"/>
        <v>0</v>
      </c>
      <c r="P125" s="15"/>
      <c r="Q125" s="15"/>
      <c r="R125" s="15"/>
      <c r="S125" s="15"/>
      <c r="T125" s="15"/>
      <c r="U125" s="15"/>
      <c r="V125" s="6"/>
    </row>
    <row r="126" spans="1:22" s="59" customFormat="1" ht="18.75" customHeight="1" hidden="1">
      <c r="A126" s="260"/>
      <c r="B126" s="2"/>
      <c r="C126" s="2"/>
      <c r="D126" s="2"/>
      <c r="E126" s="2"/>
      <c r="F126" s="2"/>
      <c r="G126" s="23"/>
      <c r="H126" s="15"/>
      <c r="I126" s="15"/>
      <c r="J126" s="15"/>
      <c r="K126" s="15"/>
      <c r="L126" s="15"/>
      <c r="M126" s="15"/>
      <c r="N126" s="15"/>
      <c r="O126" s="15">
        <f t="shared" si="12"/>
        <v>0</v>
      </c>
      <c r="P126" s="15"/>
      <c r="Q126" s="15"/>
      <c r="R126" s="15"/>
      <c r="S126" s="15"/>
      <c r="T126" s="15"/>
      <c r="U126" s="15"/>
      <c r="V126" s="6"/>
    </row>
    <row r="127" spans="1:22" s="60" customFormat="1" ht="18">
      <c r="A127" s="260"/>
      <c r="B127" s="17"/>
      <c r="C127" s="17"/>
      <c r="D127" s="17"/>
      <c r="E127" s="17"/>
      <c r="F127" s="17"/>
      <c r="G127" s="18"/>
      <c r="H127" s="19"/>
      <c r="I127" s="19"/>
      <c r="J127" s="19"/>
      <c r="K127" s="19"/>
      <c r="L127" s="19"/>
      <c r="M127" s="19"/>
      <c r="N127" s="19"/>
      <c r="O127" s="19">
        <f t="shared" si="12"/>
        <v>0</v>
      </c>
      <c r="P127" s="19"/>
      <c r="Q127" s="19"/>
      <c r="R127" s="19"/>
      <c r="S127" s="19"/>
      <c r="T127" s="19"/>
      <c r="U127" s="19"/>
      <c r="V127" s="22"/>
    </row>
    <row r="128" spans="1:22" ht="17.25">
      <c r="A128" s="33"/>
      <c r="B128" s="9">
        <f>'ING.MATRIZ'!B121</f>
        <v>200</v>
      </c>
      <c r="C128" s="9"/>
      <c r="D128" s="9"/>
      <c r="E128" s="9"/>
      <c r="F128" s="9"/>
      <c r="G128" s="37" t="str">
        <f>'ING.MATRIZ'!G121</f>
        <v>INGRESOS DE CAPITAL</v>
      </c>
      <c r="H128" s="34">
        <f>+H134</f>
        <v>530587777</v>
      </c>
      <c r="I128" s="418">
        <f aca="true" t="shared" si="25" ref="I128:T128">+I134</f>
        <v>-10611755</v>
      </c>
      <c r="J128" s="34">
        <f t="shared" si="25"/>
        <v>519976022</v>
      </c>
      <c r="K128" s="34">
        <f t="shared" si="25"/>
        <v>0</v>
      </c>
      <c r="L128" s="34">
        <f t="shared" si="25"/>
        <v>0</v>
      </c>
      <c r="M128" s="34">
        <f t="shared" si="25"/>
        <v>75123008</v>
      </c>
      <c r="N128" s="34">
        <f t="shared" si="25"/>
        <v>0</v>
      </c>
      <c r="O128" s="34">
        <f t="shared" si="12"/>
        <v>75123008</v>
      </c>
      <c r="P128" s="34">
        <f t="shared" si="25"/>
        <v>0</v>
      </c>
      <c r="Q128" s="34">
        <f t="shared" si="25"/>
        <v>0</v>
      </c>
      <c r="R128" s="34">
        <f t="shared" si="25"/>
        <v>151186547</v>
      </c>
      <c r="S128" s="34">
        <f t="shared" si="25"/>
        <v>13990868</v>
      </c>
      <c r="T128" s="34">
        <f t="shared" si="25"/>
        <v>240300423</v>
      </c>
      <c r="U128" s="34">
        <f>+U134</f>
        <v>240300423</v>
      </c>
      <c r="V128" s="36">
        <f>U128*100/J128</f>
        <v>46.213750794839534</v>
      </c>
    </row>
    <row r="129" spans="1:22" s="59" customFormat="1" ht="18.75" customHeight="1" hidden="1">
      <c r="A129" s="260"/>
      <c r="B129" s="1"/>
      <c r="C129" s="1">
        <f>'ING.MATRIZ'!C122</f>
        <v>210</v>
      </c>
      <c r="D129" s="1"/>
      <c r="E129" s="1"/>
      <c r="F129" s="1"/>
      <c r="G129" s="13" t="str">
        <f>'ING.MATRIZ'!G122</f>
        <v>VENTAS DE ACTIVOS</v>
      </c>
      <c r="H129" s="4">
        <f aca="true" t="shared" si="26" ref="H129:U129">H130</f>
        <v>0</v>
      </c>
      <c r="I129" s="419">
        <f t="shared" si="26"/>
        <v>0</v>
      </c>
      <c r="J129" s="4">
        <f t="shared" si="26"/>
        <v>0</v>
      </c>
      <c r="K129" s="4">
        <f t="shared" si="26"/>
        <v>0</v>
      </c>
      <c r="L129" s="4">
        <f t="shared" si="26"/>
        <v>0</v>
      </c>
      <c r="M129" s="4">
        <f t="shared" si="26"/>
        <v>0</v>
      </c>
      <c r="N129" s="4">
        <f t="shared" si="26"/>
        <v>0</v>
      </c>
      <c r="O129" s="4">
        <f t="shared" si="12"/>
        <v>0</v>
      </c>
      <c r="P129" s="4">
        <f t="shared" si="26"/>
        <v>0</v>
      </c>
      <c r="Q129" s="4">
        <f t="shared" si="26"/>
        <v>0</v>
      </c>
      <c r="R129" s="4">
        <f t="shared" si="26"/>
        <v>0</v>
      </c>
      <c r="S129" s="4">
        <f t="shared" si="26"/>
        <v>0</v>
      </c>
      <c r="T129" s="4">
        <f t="shared" si="26"/>
        <v>0</v>
      </c>
      <c r="U129" s="4">
        <f t="shared" si="26"/>
        <v>0</v>
      </c>
      <c r="V129" s="6" t="e">
        <f>U129*100/J129</f>
        <v>#DIV/0!</v>
      </c>
    </row>
    <row r="130" spans="1:22" s="59" customFormat="1" ht="18.75" customHeight="1" hidden="1">
      <c r="A130" s="260"/>
      <c r="B130" s="1"/>
      <c r="C130" s="1"/>
      <c r="D130" s="1">
        <f>'ING.MATRIZ'!D123</f>
        <v>211</v>
      </c>
      <c r="E130" s="2"/>
      <c r="F130" s="2"/>
      <c r="G130" s="13" t="str">
        <f>'ING.MATRIZ'!G123</f>
        <v>Ventas de Activos de Capital</v>
      </c>
      <c r="H130" s="4">
        <f>SUM(H131:H132)</f>
        <v>0</v>
      </c>
      <c r="I130" s="419">
        <f aca="true" t="shared" si="27" ref="I130:U130">SUM(I131:I132)</f>
        <v>0</v>
      </c>
      <c r="J130" s="4">
        <f t="shared" si="27"/>
        <v>0</v>
      </c>
      <c r="K130" s="4">
        <f t="shared" si="27"/>
        <v>0</v>
      </c>
      <c r="L130" s="4">
        <f t="shared" si="27"/>
        <v>0</v>
      </c>
      <c r="M130" s="4">
        <f t="shared" si="27"/>
        <v>0</v>
      </c>
      <c r="N130" s="4">
        <f t="shared" si="27"/>
        <v>0</v>
      </c>
      <c r="O130" s="4">
        <f t="shared" si="12"/>
        <v>0</v>
      </c>
      <c r="P130" s="4">
        <f t="shared" si="27"/>
        <v>0</v>
      </c>
      <c r="Q130" s="4">
        <f t="shared" si="27"/>
        <v>0</v>
      </c>
      <c r="R130" s="4">
        <f t="shared" si="27"/>
        <v>0</v>
      </c>
      <c r="S130" s="4">
        <f t="shared" si="27"/>
        <v>0</v>
      </c>
      <c r="T130" s="4">
        <f t="shared" si="27"/>
        <v>0</v>
      </c>
      <c r="U130" s="4">
        <f t="shared" si="27"/>
        <v>0</v>
      </c>
      <c r="V130" s="6" t="e">
        <f>U130*100/J130</f>
        <v>#DIV/0!</v>
      </c>
    </row>
    <row r="131" spans="1:22" s="59" customFormat="1" ht="18.75" customHeight="1" hidden="1">
      <c r="A131" s="260"/>
      <c r="B131" s="2"/>
      <c r="C131" s="2"/>
      <c r="D131" s="2"/>
      <c r="E131" s="2"/>
      <c r="F131" s="2"/>
      <c r="G131" s="23"/>
      <c r="H131" s="15"/>
      <c r="I131" s="420"/>
      <c r="J131" s="15"/>
      <c r="K131" s="15"/>
      <c r="L131" s="15"/>
      <c r="M131" s="15"/>
      <c r="N131" s="15"/>
      <c r="O131" s="15">
        <f t="shared" si="12"/>
        <v>0</v>
      </c>
      <c r="P131" s="15"/>
      <c r="Q131" s="15"/>
      <c r="R131" s="15"/>
      <c r="S131" s="15"/>
      <c r="T131" s="15"/>
      <c r="U131" s="15"/>
      <c r="V131" s="6"/>
    </row>
    <row r="132" spans="1:22" s="59" customFormat="1" ht="18.75" customHeight="1" hidden="1">
      <c r="A132" s="260"/>
      <c r="B132" s="2"/>
      <c r="C132" s="2"/>
      <c r="D132" s="2"/>
      <c r="E132" s="2"/>
      <c r="F132" s="2"/>
      <c r="G132" s="23"/>
      <c r="H132" s="15"/>
      <c r="I132" s="420"/>
      <c r="J132" s="15"/>
      <c r="K132" s="15"/>
      <c r="L132" s="15"/>
      <c r="M132" s="15"/>
      <c r="N132" s="15"/>
      <c r="O132" s="15">
        <f t="shared" si="12"/>
        <v>0</v>
      </c>
      <c r="P132" s="15"/>
      <c r="Q132" s="15"/>
      <c r="R132" s="15"/>
      <c r="S132" s="15"/>
      <c r="T132" s="15"/>
      <c r="U132" s="15"/>
      <c r="V132" s="6"/>
    </row>
    <row r="133" spans="1:22" s="60" customFormat="1" ht="18.75" customHeight="1" hidden="1">
      <c r="A133" s="260"/>
      <c r="B133" s="17"/>
      <c r="C133" s="17"/>
      <c r="D133" s="17"/>
      <c r="E133" s="17"/>
      <c r="F133" s="17"/>
      <c r="G133" s="18"/>
      <c r="H133" s="19"/>
      <c r="I133" s="421"/>
      <c r="J133" s="19"/>
      <c r="K133" s="19"/>
      <c r="L133" s="19"/>
      <c r="M133" s="19"/>
      <c r="N133" s="19"/>
      <c r="O133" s="19">
        <f t="shared" si="12"/>
        <v>0</v>
      </c>
      <c r="P133" s="19"/>
      <c r="Q133" s="19"/>
      <c r="R133" s="19"/>
      <c r="S133" s="19"/>
      <c r="T133" s="19"/>
      <c r="U133" s="19"/>
      <c r="V133" s="22"/>
    </row>
    <row r="134" spans="1:22" s="59" customFormat="1" ht="18">
      <c r="A134" s="260"/>
      <c r="B134" s="1"/>
      <c r="C134" s="1">
        <f>'ING.MATRIZ'!C127</f>
        <v>220</v>
      </c>
      <c r="D134" s="1"/>
      <c r="E134" s="1"/>
      <c r="F134" s="1"/>
      <c r="G134" s="13" t="str">
        <f>'ING.MATRIZ'!G127</f>
        <v>TRANSFERENCIAS DE CAPITAL</v>
      </c>
      <c r="H134" s="6">
        <f>+H135</f>
        <v>530587777</v>
      </c>
      <c r="I134" s="419">
        <f aca="true" t="shared" si="28" ref="I134:T134">+I135</f>
        <v>-10611755</v>
      </c>
      <c r="J134" s="6">
        <f t="shared" si="28"/>
        <v>519976022</v>
      </c>
      <c r="K134" s="6">
        <f t="shared" si="28"/>
        <v>0</v>
      </c>
      <c r="L134" s="6">
        <f t="shared" si="28"/>
        <v>0</v>
      </c>
      <c r="M134" s="6">
        <f t="shared" si="28"/>
        <v>75123008</v>
      </c>
      <c r="N134" s="6">
        <f t="shared" si="28"/>
        <v>0</v>
      </c>
      <c r="O134" s="6">
        <f t="shared" si="12"/>
        <v>75123008</v>
      </c>
      <c r="P134" s="6">
        <f t="shared" si="28"/>
        <v>0</v>
      </c>
      <c r="Q134" s="6">
        <f t="shared" si="28"/>
        <v>0</v>
      </c>
      <c r="R134" s="6">
        <f t="shared" si="28"/>
        <v>151186547</v>
      </c>
      <c r="S134" s="6">
        <f t="shared" si="28"/>
        <v>13990868</v>
      </c>
      <c r="T134" s="6">
        <f t="shared" si="28"/>
        <v>240300423</v>
      </c>
      <c r="U134" s="6">
        <f>+U135</f>
        <v>240300423</v>
      </c>
      <c r="V134" s="6">
        <f>U134*100/J134</f>
        <v>46.213750794839534</v>
      </c>
    </row>
    <row r="135" spans="1:22" s="59" customFormat="1" ht="20.25">
      <c r="A135" s="260"/>
      <c r="B135" s="1"/>
      <c r="C135" s="1"/>
      <c r="D135" s="1">
        <f>'ING.MATRIZ'!D128</f>
        <v>223</v>
      </c>
      <c r="E135" s="1"/>
      <c r="F135" s="1"/>
      <c r="G135" s="29" t="str">
        <f>'ING.MATRIZ'!G128</f>
        <v>Transerencias Consolidables de Entidades y Organismos del Estado por Coparticipación</v>
      </c>
      <c r="H135" s="6">
        <f>+H137</f>
        <v>530587777</v>
      </c>
      <c r="I135" s="419">
        <f aca="true" t="shared" si="29" ref="I135:T135">+I137</f>
        <v>-10611755</v>
      </c>
      <c r="J135" s="6">
        <f t="shared" si="29"/>
        <v>519976022</v>
      </c>
      <c r="K135" s="6">
        <f t="shared" si="29"/>
        <v>0</v>
      </c>
      <c r="L135" s="6">
        <f t="shared" si="29"/>
        <v>0</v>
      </c>
      <c r="M135" s="6">
        <f t="shared" si="29"/>
        <v>75123008</v>
      </c>
      <c r="N135" s="6">
        <f t="shared" si="29"/>
        <v>0</v>
      </c>
      <c r="O135" s="6">
        <f t="shared" si="12"/>
        <v>75123008</v>
      </c>
      <c r="P135" s="6">
        <f t="shared" si="29"/>
        <v>0</v>
      </c>
      <c r="Q135" s="6">
        <f t="shared" si="29"/>
        <v>0</v>
      </c>
      <c r="R135" s="6">
        <f t="shared" si="29"/>
        <v>151186547</v>
      </c>
      <c r="S135" s="6">
        <f t="shared" si="29"/>
        <v>13990868</v>
      </c>
      <c r="T135" s="6">
        <f t="shared" si="29"/>
        <v>240300423</v>
      </c>
      <c r="U135" s="6">
        <f>+U137</f>
        <v>240300423</v>
      </c>
      <c r="V135" s="6">
        <f>U135*100/J135</f>
        <v>46.213750794839534</v>
      </c>
    </row>
    <row r="136" spans="1:22" s="59" customFormat="1" ht="18.75" customHeight="1" hidden="1">
      <c r="A136" s="260"/>
      <c r="B136" s="1"/>
      <c r="C136" s="1"/>
      <c r="D136" s="2"/>
      <c r="E136" s="2"/>
      <c r="F136" s="2"/>
      <c r="G136" s="23"/>
      <c r="H136" s="7"/>
      <c r="I136" s="420"/>
      <c r="J136" s="7"/>
      <c r="K136" s="15"/>
      <c r="L136" s="15"/>
      <c r="M136" s="15"/>
      <c r="N136" s="15"/>
      <c r="O136" s="15">
        <f t="shared" si="12"/>
        <v>0</v>
      </c>
      <c r="P136" s="15"/>
      <c r="Q136" s="15"/>
      <c r="R136" s="15"/>
      <c r="S136" s="15"/>
      <c r="T136" s="15"/>
      <c r="U136" s="15"/>
      <c r="V136" s="6"/>
    </row>
    <row r="137" spans="1:22" s="59" customFormat="1" ht="18">
      <c r="A137" s="260"/>
      <c r="B137" s="1"/>
      <c r="C137" s="1"/>
      <c r="D137" s="2" t="str">
        <f>'ING.MATRIZ'!D130</f>
        <v>223</v>
      </c>
      <c r="E137" s="2" t="str">
        <f>'ING.MATRIZ'!E130</f>
        <v>070</v>
      </c>
      <c r="F137" s="2" t="str">
        <f>'ING.MATRIZ'!F130</f>
        <v>003</v>
      </c>
      <c r="G137" s="23" t="str">
        <f>'ING.MATRIZ'!G130</f>
        <v>Aportes del Gobierno Central con FONACIDE 70%</v>
      </c>
      <c r="H137" s="7">
        <f>'ING.MATRIZ'!H130</f>
        <v>530587777</v>
      </c>
      <c r="I137" s="420">
        <f>'ING.MATRIZ'!I130</f>
        <v>-10611755</v>
      </c>
      <c r="J137" s="7">
        <f>H137+I137</f>
        <v>519976022</v>
      </c>
      <c r="K137" s="15">
        <v>0</v>
      </c>
      <c r="L137" s="15">
        <v>0</v>
      </c>
      <c r="M137" s="15">
        <v>75123008</v>
      </c>
      <c r="N137" s="15">
        <v>0</v>
      </c>
      <c r="O137" s="15">
        <f t="shared" si="12"/>
        <v>75123008</v>
      </c>
      <c r="P137" s="15">
        <v>0</v>
      </c>
      <c r="Q137" s="15">
        <v>0</v>
      </c>
      <c r="R137" s="15">
        <v>151186547</v>
      </c>
      <c r="S137" s="15">
        <v>13990868</v>
      </c>
      <c r="T137" s="15">
        <f>+O137+P137+Q137+R137+S137</f>
        <v>240300423</v>
      </c>
      <c r="U137" s="15">
        <f>+T137</f>
        <v>240300423</v>
      </c>
      <c r="V137" s="6">
        <f>U137*100/J137</f>
        <v>46.213750794839534</v>
      </c>
    </row>
    <row r="138" spans="1:22" s="59" customFormat="1" ht="18">
      <c r="A138" s="260"/>
      <c r="B138" s="1"/>
      <c r="C138" s="1"/>
      <c r="D138" s="2"/>
      <c r="E138" s="2"/>
      <c r="F138" s="2"/>
      <c r="G138" s="23"/>
      <c r="H138" s="7"/>
      <c r="I138" s="420"/>
      <c r="J138" s="7"/>
      <c r="K138" s="15"/>
      <c r="L138" s="15"/>
      <c r="M138" s="15"/>
      <c r="N138" s="15"/>
      <c r="O138" s="15">
        <f t="shared" si="12"/>
        <v>0</v>
      </c>
      <c r="P138" s="15"/>
      <c r="Q138" s="15"/>
      <c r="R138" s="15"/>
      <c r="S138" s="15"/>
      <c r="T138" s="15"/>
      <c r="U138" s="15"/>
      <c r="V138" s="6"/>
    </row>
    <row r="139" spans="1:22" s="60" customFormat="1" ht="18.75" customHeight="1" hidden="1">
      <c r="A139" s="260"/>
      <c r="B139" s="16"/>
      <c r="C139" s="16"/>
      <c r="D139" s="17"/>
      <c r="E139" s="17"/>
      <c r="F139" s="17"/>
      <c r="G139" s="18"/>
      <c r="H139" s="30"/>
      <c r="I139" s="30"/>
      <c r="J139" s="30"/>
      <c r="K139" s="19"/>
      <c r="L139" s="19"/>
      <c r="M139" s="19"/>
      <c r="N139" s="19"/>
      <c r="O139" s="19">
        <f t="shared" si="12"/>
        <v>0</v>
      </c>
      <c r="P139" s="19"/>
      <c r="Q139" s="19"/>
      <c r="R139" s="19"/>
      <c r="S139" s="19"/>
      <c r="T139" s="19"/>
      <c r="U139" s="19"/>
      <c r="V139" s="6" t="e">
        <f aca="true" t="shared" si="30" ref="V139:V162">U139*100/J139</f>
        <v>#DIV/0!</v>
      </c>
    </row>
    <row r="140" spans="1:22" s="60" customFormat="1" ht="22.5" customHeight="1" hidden="1">
      <c r="A140" s="260"/>
      <c r="B140" s="1"/>
      <c r="C140" s="1"/>
      <c r="D140" s="1" t="str">
        <f>'ING.MATRIZ'!D133</f>
        <v>224</v>
      </c>
      <c r="E140" s="1"/>
      <c r="F140" s="1"/>
      <c r="G140" s="29" t="str">
        <f>'ING.MATRIZ'!G133</f>
        <v>Transferencias Consolidables de Entidades y Organismos del Estado</v>
      </c>
      <c r="H140" s="6">
        <f aca="true" t="shared" si="31" ref="H140:N140">SUM(H141:H142)</f>
        <v>0</v>
      </c>
      <c r="I140" s="6">
        <f t="shared" si="31"/>
        <v>0</v>
      </c>
      <c r="J140" s="6">
        <f t="shared" si="31"/>
        <v>0</v>
      </c>
      <c r="K140" s="6">
        <f t="shared" si="31"/>
        <v>0</v>
      </c>
      <c r="L140" s="6">
        <f t="shared" si="31"/>
        <v>0</v>
      </c>
      <c r="M140" s="6">
        <f t="shared" si="31"/>
        <v>0</v>
      </c>
      <c r="N140" s="6">
        <f t="shared" si="31"/>
        <v>0</v>
      </c>
      <c r="O140" s="6">
        <f aca="true" t="shared" si="32" ref="O140:O163">+K140+L140+M140+N140</f>
        <v>0</v>
      </c>
      <c r="P140" s="6">
        <f>SUM(P141:P142)</f>
        <v>0</v>
      </c>
      <c r="Q140" s="6">
        <f>SUM(Q141:Q142)</f>
        <v>0</v>
      </c>
      <c r="R140" s="6"/>
      <c r="S140" s="6"/>
      <c r="T140" s="4" t="e">
        <f>#REF!+#REF!+#REF!</f>
        <v>#REF!</v>
      </c>
      <c r="U140" s="4" t="e">
        <f>#REF!+#REF!+#REF!</f>
        <v>#REF!</v>
      </c>
      <c r="V140" s="6" t="e">
        <f t="shared" si="30"/>
        <v>#REF!</v>
      </c>
    </row>
    <row r="141" spans="1:22" s="60" customFormat="1" ht="18.75" customHeight="1" hidden="1">
      <c r="A141" s="260"/>
      <c r="B141" s="1"/>
      <c r="C141" s="1"/>
      <c r="D141" s="2"/>
      <c r="E141" s="2"/>
      <c r="F141" s="2"/>
      <c r="G141" s="23"/>
      <c r="H141" s="7"/>
      <c r="I141" s="7"/>
      <c r="J141" s="7"/>
      <c r="K141" s="15"/>
      <c r="L141" s="15"/>
      <c r="M141" s="15"/>
      <c r="N141" s="15"/>
      <c r="O141" s="15">
        <f t="shared" si="32"/>
        <v>0</v>
      </c>
      <c r="P141" s="15"/>
      <c r="Q141" s="15"/>
      <c r="R141" s="15"/>
      <c r="S141" s="15"/>
      <c r="T141" s="15"/>
      <c r="U141" s="15"/>
      <c r="V141" s="6" t="e">
        <f t="shared" si="30"/>
        <v>#DIV/0!</v>
      </c>
    </row>
    <row r="142" spans="1:22" s="60" customFormat="1" ht="18.75" customHeight="1" hidden="1">
      <c r="A142" s="260"/>
      <c r="B142" s="16"/>
      <c r="C142" s="16"/>
      <c r="D142" s="17"/>
      <c r="E142" s="17"/>
      <c r="F142" s="17"/>
      <c r="G142" s="18"/>
      <c r="H142" s="30"/>
      <c r="I142" s="30"/>
      <c r="J142" s="30"/>
      <c r="K142" s="19"/>
      <c r="L142" s="19"/>
      <c r="M142" s="19"/>
      <c r="N142" s="19"/>
      <c r="O142" s="19">
        <f t="shared" si="32"/>
        <v>0</v>
      </c>
      <c r="P142" s="19"/>
      <c r="Q142" s="19"/>
      <c r="R142" s="19"/>
      <c r="S142" s="19"/>
      <c r="T142" s="19"/>
      <c r="U142" s="19"/>
      <c r="V142" s="6" t="e">
        <f t="shared" si="30"/>
        <v>#DIV/0!</v>
      </c>
    </row>
    <row r="143" spans="1:22" s="59" customFormat="1" ht="18.75" customHeight="1" hidden="1">
      <c r="A143" s="260"/>
      <c r="B143" s="1"/>
      <c r="C143" s="1" t="str">
        <f>'ING.MATRIZ'!C136</f>
        <v>230</v>
      </c>
      <c r="D143" s="1"/>
      <c r="E143" s="1"/>
      <c r="F143" s="1"/>
      <c r="G143" s="13" t="str">
        <f>'ING.MATRIZ'!G136</f>
        <v>DONACIONES DE CAPITAL</v>
      </c>
      <c r="H143" s="6">
        <f aca="true" t="shared" si="33" ref="H143:N144">H144</f>
        <v>0</v>
      </c>
      <c r="I143" s="6">
        <f t="shared" si="33"/>
        <v>0</v>
      </c>
      <c r="J143" s="6">
        <f t="shared" si="33"/>
        <v>0</v>
      </c>
      <c r="K143" s="6">
        <f t="shared" si="33"/>
        <v>0</v>
      </c>
      <c r="L143" s="6">
        <f t="shared" si="33"/>
        <v>0</v>
      </c>
      <c r="M143" s="6">
        <f t="shared" si="33"/>
        <v>0</v>
      </c>
      <c r="N143" s="6">
        <f t="shared" si="33"/>
        <v>0</v>
      </c>
      <c r="O143" s="6">
        <f t="shared" si="32"/>
        <v>0</v>
      </c>
      <c r="P143" s="6">
        <f>P144</f>
        <v>0</v>
      </c>
      <c r="Q143" s="6">
        <f>Q144</f>
        <v>0</v>
      </c>
      <c r="R143" s="6"/>
      <c r="S143" s="6"/>
      <c r="T143" s="4" t="e">
        <f>#REF!+#REF!+#REF!</f>
        <v>#REF!</v>
      </c>
      <c r="U143" s="4" t="e">
        <f>#REF!+#REF!+#REF!</f>
        <v>#REF!</v>
      </c>
      <c r="V143" s="6" t="e">
        <f t="shared" si="30"/>
        <v>#REF!</v>
      </c>
    </row>
    <row r="144" spans="1:22" s="59" customFormat="1" ht="18.75" customHeight="1" hidden="1">
      <c r="A144" s="260"/>
      <c r="B144" s="1"/>
      <c r="C144" s="1"/>
      <c r="D144" s="1" t="str">
        <f>'ING.MATRIZ'!D137</f>
        <v>231</v>
      </c>
      <c r="E144" s="1"/>
      <c r="F144" s="1"/>
      <c r="G144" s="29" t="str">
        <f>'ING.MATRIZ'!G137</f>
        <v>Donaciones Nacionales</v>
      </c>
      <c r="H144" s="6">
        <f t="shared" si="33"/>
        <v>0</v>
      </c>
      <c r="I144" s="6">
        <f t="shared" si="33"/>
        <v>0</v>
      </c>
      <c r="J144" s="6">
        <f t="shared" si="33"/>
        <v>0</v>
      </c>
      <c r="K144" s="6">
        <f t="shared" si="33"/>
        <v>0</v>
      </c>
      <c r="L144" s="6">
        <f t="shared" si="33"/>
        <v>0</v>
      </c>
      <c r="M144" s="6">
        <f t="shared" si="33"/>
        <v>0</v>
      </c>
      <c r="N144" s="6">
        <f t="shared" si="33"/>
        <v>0</v>
      </c>
      <c r="O144" s="6">
        <f t="shared" si="32"/>
        <v>0</v>
      </c>
      <c r="P144" s="6">
        <f>P145</f>
        <v>0</v>
      </c>
      <c r="Q144" s="6">
        <f>Q145</f>
        <v>0</v>
      </c>
      <c r="R144" s="6"/>
      <c r="S144" s="6"/>
      <c r="T144" s="4" t="e">
        <f>#REF!+#REF!+#REF!</f>
        <v>#REF!</v>
      </c>
      <c r="U144" s="4" t="e">
        <f>#REF!+#REF!+#REF!</f>
        <v>#REF!</v>
      </c>
      <c r="V144" s="6" t="e">
        <f t="shared" si="30"/>
        <v>#REF!</v>
      </c>
    </row>
    <row r="145" spans="1:22" s="59" customFormat="1" ht="18.75" customHeight="1" hidden="1">
      <c r="A145" s="260"/>
      <c r="B145" s="1"/>
      <c r="C145" s="1"/>
      <c r="D145" s="2"/>
      <c r="E145" s="2"/>
      <c r="F145" s="2"/>
      <c r="G145" s="23"/>
      <c r="H145" s="7"/>
      <c r="I145" s="7"/>
      <c r="J145" s="7"/>
      <c r="K145" s="15"/>
      <c r="L145" s="15"/>
      <c r="M145" s="15"/>
      <c r="N145" s="15"/>
      <c r="O145" s="15">
        <f t="shared" si="32"/>
        <v>0</v>
      </c>
      <c r="P145" s="15"/>
      <c r="Q145" s="15"/>
      <c r="R145" s="15"/>
      <c r="S145" s="15"/>
      <c r="T145" s="15"/>
      <c r="U145" s="15"/>
      <c r="V145" s="6" t="e">
        <f t="shared" si="30"/>
        <v>#DIV/0!</v>
      </c>
    </row>
    <row r="146" spans="1:22" s="61" customFormat="1" ht="18" customHeight="1" hidden="1">
      <c r="A146" s="33"/>
      <c r="B146" s="16"/>
      <c r="C146" s="16"/>
      <c r="D146" s="17"/>
      <c r="E146" s="17"/>
      <c r="F146" s="17"/>
      <c r="G146" s="18"/>
      <c r="H146" s="30"/>
      <c r="I146" s="30"/>
      <c r="J146" s="30"/>
      <c r="K146" s="19"/>
      <c r="L146" s="19"/>
      <c r="M146" s="19"/>
      <c r="N146" s="19"/>
      <c r="O146" s="19">
        <f t="shared" si="32"/>
        <v>0</v>
      </c>
      <c r="P146" s="19"/>
      <c r="Q146" s="19"/>
      <c r="R146" s="19"/>
      <c r="S146" s="19"/>
      <c r="T146" s="19"/>
      <c r="U146" s="19"/>
      <c r="V146" s="6" t="e">
        <f t="shared" si="30"/>
        <v>#DIV/0!</v>
      </c>
    </row>
    <row r="147" spans="1:22" s="12" customFormat="1" ht="17.25">
      <c r="A147" s="33"/>
      <c r="B147" s="9">
        <f>'ING.MATRIZ'!B140</f>
        <v>300</v>
      </c>
      <c r="C147" s="10"/>
      <c r="D147" s="10"/>
      <c r="E147" s="10"/>
      <c r="F147" s="10"/>
      <c r="G147" s="37" t="str">
        <f>'ING.MATRIZ'!G140</f>
        <v>RECURSOS DE FINANCIAMIENTO</v>
      </c>
      <c r="H147" s="35">
        <f>+H157</f>
        <v>0</v>
      </c>
      <c r="I147" s="35">
        <f aca="true" t="shared" si="34" ref="I147:U147">+I157</f>
        <v>223820097</v>
      </c>
      <c r="J147" s="35">
        <f t="shared" si="34"/>
        <v>223820097</v>
      </c>
      <c r="K147" s="35">
        <f t="shared" si="34"/>
        <v>0</v>
      </c>
      <c r="L147" s="35">
        <f t="shared" si="34"/>
        <v>0</v>
      </c>
      <c r="M147" s="35">
        <f t="shared" si="34"/>
        <v>0</v>
      </c>
      <c r="N147" s="35">
        <f t="shared" si="34"/>
        <v>223820097</v>
      </c>
      <c r="O147" s="35">
        <f t="shared" si="32"/>
        <v>223820097</v>
      </c>
      <c r="P147" s="35">
        <f t="shared" si="34"/>
        <v>0</v>
      </c>
      <c r="Q147" s="35">
        <f t="shared" si="34"/>
        <v>0</v>
      </c>
      <c r="R147" s="35">
        <f t="shared" si="34"/>
        <v>0</v>
      </c>
      <c r="S147" s="35">
        <f t="shared" si="34"/>
        <v>0</v>
      </c>
      <c r="T147" s="35">
        <f t="shared" si="34"/>
        <v>223820097</v>
      </c>
      <c r="U147" s="35">
        <f t="shared" si="34"/>
        <v>223820097</v>
      </c>
      <c r="V147" s="6">
        <f t="shared" si="30"/>
        <v>100</v>
      </c>
    </row>
    <row r="148" spans="1:22" s="59" customFormat="1" ht="18.75" customHeight="1" hidden="1">
      <c r="A148" s="260"/>
      <c r="B148" s="2"/>
      <c r="C148" s="1" t="str">
        <f>'ING.MATRIZ'!C141</f>
        <v>310</v>
      </c>
      <c r="D148" s="2"/>
      <c r="E148" s="2"/>
      <c r="F148" s="2"/>
      <c r="G148" s="13" t="str">
        <f>'ING.MATRIZ'!G141</f>
        <v>ENDEUDAMIENTO INTERNO</v>
      </c>
      <c r="H148" s="3">
        <f aca="true" t="shared" si="35" ref="H148:U148">H149</f>
        <v>0</v>
      </c>
      <c r="I148" s="3">
        <f t="shared" si="35"/>
        <v>0</v>
      </c>
      <c r="J148" s="3">
        <f t="shared" si="35"/>
        <v>0</v>
      </c>
      <c r="K148" s="3">
        <f t="shared" si="35"/>
        <v>0</v>
      </c>
      <c r="L148" s="3">
        <f t="shared" si="35"/>
        <v>0</v>
      </c>
      <c r="M148" s="3">
        <f t="shared" si="35"/>
        <v>0</v>
      </c>
      <c r="N148" s="3">
        <f t="shared" si="35"/>
        <v>0</v>
      </c>
      <c r="O148" s="3">
        <f t="shared" si="32"/>
        <v>0</v>
      </c>
      <c r="P148" s="3">
        <f t="shared" si="35"/>
        <v>0</v>
      </c>
      <c r="Q148" s="3">
        <f t="shared" si="35"/>
        <v>0</v>
      </c>
      <c r="R148" s="3">
        <f t="shared" si="35"/>
        <v>0</v>
      </c>
      <c r="S148" s="3">
        <f t="shared" si="35"/>
        <v>0</v>
      </c>
      <c r="T148" s="3">
        <f t="shared" si="35"/>
        <v>0</v>
      </c>
      <c r="U148" s="3">
        <f t="shared" si="35"/>
        <v>0</v>
      </c>
      <c r="V148" s="6" t="e">
        <f t="shared" si="30"/>
        <v>#DIV/0!</v>
      </c>
    </row>
    <row r="149" spans="1:22" s="59" customFormat="1" ht="18.75" customHeight="1" hidden="1">
      <c r="A149" s="260"/>
      <c r="B149" s="2"/>
      <c r="C149" s="1"/>
      <c r="D149" s="1" t="str">
        <f>'ING.MATRIZ'!D142</f>
        <v>313</v>
      </c>
      <c r="E149" s="1"/>
      <c r="F149" s="1"/>
      <c r="G149" s="13" t="str">
        <f>'ING.MATRIZ'!G142</f>
        <v>Prestamos del Sector Privado</v>
      </c>
      <c r="H149" s="3">
        <f>SUM(H150:H151)</f>
        <v>0</v>
      </c>
      <c r="I149" s="3">
        <f aca="true" t="shared" si="36" ref="I149:U149">SUM(I150:I151)</f>
        <v>0</v>
      </c>
      <c r="J149" s="3">
        <f t="shared" si="36"/>
        <v>0</v>
      </c>
      <c r="K149" s="3">
        <f t="shared" si="36"/>
        <v>0</v>
      </c>
      <c r="L149" s="3">
        <f t="shared" si="36"/>
        <v>0</v>
      </c>
      <c r="M149" s="3">
        <f t="shared" si="36"/>
        <v>0</v>
      </c>
      <c r="N149" s="3">
        <f t="shared" si="36"/>
        <v>0</v>
      </c>
      <c r="O149" s="3">
        <f t="shared" si="32"/>
        <v>0</v>
      </c>
      <c r="P149" s="3">
        <f t="shared" si="36"/>
        <v>0</v>
      </c>
      <c r="Q149" s="3">
        <f t="shared" si="36"/>
        <v>0</v>
      </c>
      <c r="R149" s="3">
        <f t="shared" si="36"/>
        <v>0</v>
      </c>
      <c r="S149" s="3">
        <f t="shared" si="36"/>
        <v>0</v>
      </c>
      <c r="T149" s="3">
        <f t="shared" si="36"/>
        <v>0</v>
      </c>
      <c r="U149" s="3">
        <f t="shared" si="36"/>
        <v>0</v>
      </c>
      <c r="V149" s="6" t="e">
        <f t="shared" si="30"/>
        <v>#DIV/0!</v>
      </c>
    </row>
    <row r="150" spans="1:22" s="59" customFormat="1" ht="18.75" customHeight="1" hidden="1">
      <c r="A150" s="260"/>
      <c r="B150" s="2"/>
      <c r="C150" s="2"/>
      <c r="D150" s="2"/>
      <c r="E150" s="2"/>
      <c r="F150" s="2"/>
      <c r="G150" s="23"/>
      <c r="H150" s="5"/>
      <c r="I150" s="5"/>
      <c r="J150" s="5"/>
      <c r="K150" s="5"/>
      <c r="L150" s="5"/>
      <c r="M150" s="5"/>
      <c r="N150" s="5"/>
      <c r="O150" s="5">
        <f t="shared" si="32"/>
        <v>0</v>
      </c>
      <c r="P150" s="5"/>
      <c r="Q150" s="5"/>
      <c r="R150" s="5"/>
      <c r="S150" s="5"/>
      <c r="T150" s="5"/>
      <c r="U150" s="5"/>
      <c r="V150" s="6" t="e">
        <f t="shared" si="30"/>
        <v>#DIV/0!</v>
      </c>
    </row>
    <row r="151" spans="1:22" s="59" customFormat="1" ht="18.75" customHeight="1" hidden="1">
      <c r="A151" s="260"/>
      <c r="B151" s="2"/>
      <c r="C151" s="2"/>
      <c r="D151" s="2"/>
      <c r="E151" s="2"/>
      <c r="F151" s="2"/>
      <c r="G151" s="23"/>
      <c r="H151" s="5"/>
      <c r="I151" s="5"/>
      <c r="J151" s="5"/>
      <c r="K151" s="5"/>
      <c r="L151" s="5"/>
      <c r="M151" s="5"/>
      <c r="N151" s="5"/>
      <c r="O151" s="5">
        <f t="shared" si="32"/>
        <v>0</v>
      </c>
      <c r="P151" s="5"/>
      <c r="Q151" s="5"/>
      <c r="R151" s="5"/>
      <c r="S151" s="5"/>
      <c r="T151" s="5"/>
      <c r="U151" s="5"/>
      <c r="V151" s="6" t="e">
        <f t="shared" si="30"/>
        <v>#DIV/0!</v>
      </c>
    </row>
    <row r="152" spans="1:22" s="59" customFormat="1" ht="18.75" customHeight="1" hidden="1">
      <c r="A152" s="260"/>
      <c r="B152" s="2"/>
      <c r="C152" s="2"/>
      <c r="D152" s="2"/>
      <c r="E152" s="2"/>
      <c r="F152" s="2"/>
      <c r="G152" s="23"/>
      <c r="H152" s="5"/>
      <c r="I152" s="5"/>
      <c r="J152" s="5"/>
      <c r="K152" s="5"/>
      <c r="L152" s="5"/>
      <c r="M152" s="5"/>
      <c r="N152" s="5"/>
      <c r="O152" s="5">
        <f t="shared" si="32"/>
        <v>0</v>
      </c>
      <c r="P152" s="5"/>
      <c r="Q152" s="5"/>
      <c r="R152" s="5"/>
      <c r="S152" s="5"/>
      <c r="T152" s="5"/>
      <c r="U152" s="5"/>
      <c r="V152" s="6" t="e">
        <f t="shared" si="30"/>
        <v>#DIV/0!</v>
      </c>
    </row>
    <row r="153" spans="1:22" s="59" customFormat="1" ht="18.75" customHeight="1" hidden="1">
      <c r="A153" s="260"/>
      <c r="B153" s="1"/>
      <c r="C153" s="1" t="str">
        <f>'ING.MATRIZ'!C146</f>
        <v>330</v>
      </c>
      <c r="D153" s="2"/>
      <c r="E153" s="2"/>
      <c r="F153" s="2"/>
      <c r="G153" s="13" t="str">
        <f>'ING.MATRIZ'!G146</f>
        <v>RECUPERACIÓN DE PRESTAMOS</v>
      </c>
      <c r="H153" s="3">
        <f aca="true" t="shared" si="37" ref="H153:U154">H154</f>
        <v>0</v>
      </c>
      <c r="I153" s="3">
        <f t="shared" si="37"/>
        <v>0</v>
      </c>
      <c r="J153" s="3">
        <f t="shared" si="37"/>
        <v>0</v>
      </c>
      <c r="K153" s="3">
        <f t="shared" si="37"/>
        <v>0</v>
      </c>
      <c r="L153" s="3">
        <f t="shared" si="37"/>
        <v>0</v>
      </c>
      <c r="M153" s="3">
        <f t="shared" si="37"/>
        <v>0</v>
      </c>
      <c r="N153" s="3">
        <f t="shared" si="37"/>
        <v>0</v>
      </c>
      <c r="O153" s="3">
        <f t="shared" si="32"/>
        <v>0</v>
      </c>
      <c r="P153" s="3">
        <f t="shared" si="37"/>
        <v>0</v>
      </c>
      <c r="Q153" s="3">
        <f t="shared" si="37"/>
        <v>0</v>
      </c>
      <c r="R153" s="3">
        <f t="shared" si="37"/>
        <v>0</v>
      </c>
      <c r="S153" s="3">
        <f t="shared" si="37"/>
        <v>0</v>
      </c>
      <c r="T153" s="3">
        <f t="shared" si="37"/>
        <v>0</v>
      </c>
      <c r="U153" s="3">
        <f t="shared" si="37"/>
        <v>0</v>
      </c>
      <c r="V153" s="6" t="e">
        <f t="shared" si="30"/>
        <v>#DIV/0!</v>
      </c>
    </row>
    <row r="154" spans="1:22" s="59" customFormat="1" ht="18.75" customHeight="1" hidden="1">
      <c r="A154" s="260"/>
      <c r="B154" s="1"/>
      <c r="C154" s="1"/>
      <c r="D154" s="1" t="str">
        <f>'ING.MATRIZ'!D147</f>
        <v>333</v>
      </c>
      <c r="E154" s="1"/>
      <c r="F154" s="1"/>
      <c r="G154" s="13" t="str">
        <f>'ING.MATRIZ'!G147</f>
        <v>Reembolso por Construcción de Pavimento</v>
      </c>
      <c r="H154" s="3">
        <f t="shared" si="37"/>
        <v>0</v>
      </c>
      <c r="I154" s="3">
        <f t="shared" si="37"/>
        <v>0</v>
      </c>
      <c r="J154" s="3">
        <f t="shared" si="37"/>
        <v>0</v>
      </c>
      <c r="K154" s="3">
        <f t="shared" si="37"/>
        <v>0</v>
      </c>
      <c r="L154" s="3">
        <f t="shared" si="37"/>
        <v>0</v>
      </c>
      <c r="M154" s="3">
        <f t="shared" si="37"/>
        <v>0</v>
      </c>
      <c r="N154" s="3">
        <f t="shared" si="37"/>
        <v>0</v>
      </c>
      <c r="O154" s="3">
        <f t="shared" si="32"/>
        <v>0</v>
      </c>
      <c r="P154" s="3">
        <f t="shared" si="37"/>
        <v>0</v>
      </c>
      <c r="Q154" s="3">
        <f t="shared" si="37"/>
        <v>0</v>
      </c>
      <c r="R154" s="3">
        <f t="shared" si="37"/>
        <v>0</v>
      </c>
      <c r="S154" s="3">
        <f t="shared" si="37"/>
        <v>0</v>
      </c>
      <c r="T154" s="3">
        <f t="shared" si="37"/>
        <v>0</v>
      </c>
      <c r="U154" s="3">
        <f t="shared" si="37"/>
        <v>0</v>
      </c>
      <c r="V154" s="6" t="e">
        <f t="shared" si="30"/>
        <v>#DIV/0!</v>
      </c>
    </row>
    <row r="155" spans="1:22" s="59" customFormat="1" ht="18.75" customHeight="1" hidden="1">
      <c r="A155" s="260"/>
      <c r="B155" s="2"/>
      <c r="C155" s="2"/>
      <c r="D155" s="2"/>
      <c r="E155" s="2"/>
      <c r="F155" s="2"/>
      <c r="G155" s="23"/>
      <c r="H155" s="5"/>
      <c r="I155" s="5"/>
      <c r="J155" s="5"/>
      <c r="K155" s="5"/>
      <c r="L155" s="5"/>
      <c r="M155" s="5"/>
      <c r="N155" s="5"/>
      <c r="O155" s="5">
        <f t="shared" si="32"/>
        <v>0</v>
      </c>
      <c r="P155" s="5"/>
      <c r="Q155" s="5"/>
      <c r="R155" s="5"/>
      <c r="S155" s="5"/>
      <c r="T155" s="5"/>
      <c r="U155" s="5"/>
      <c r="V155" s="6" t="e">
        <f t="shared" si="30"/>
        <v>#DIV/0!</v>
      </c>
    </row>
    <row r="156" spans="1:22" s="59" customFormat="1" ht="18.75" customHeight="1" hidden="1">
      <c r="A156" s="260"/>
      <c r="B156" s="2"/>
      <c r="C156" s="2"/>
      <c r="D156" s="2"/>
      <c r="E156" s="2"/>
      <c r="F156" s="2"/>
      <c r="G156" s="23"/>
      <c r="H156" s="5"/>
      <c r="I156" s="5"/>
      <c r="J156" s="5"/>
      <c r="K156" s="5"/>
      <c r="L156" s="5"/>
      <c r="M156" s="5"/>
      <c r="N156" s="5"/>
      <c r="O156" s="5">
        <f t="shared" si="32"/>
        <v>0</v>
      </c>
      <c r="P156" s="5"/>
      <c r="Q156" s="5"/>
      <c r="R156" s="5"/>
      <c r="S156" s="5"/>
      <c r="T156" s="5"/>
      <c r="U156" s="5"/>
      <c r="V156" s="6" t="e">
        <f t="shared" si="30"/>
        <v>#DIV/0!</v>
      </c>
    </row>
    <row r="157" spans="1:22" s="59" customFormat="1" ht="18">
      <c r="A157" s="260"/>
      <c r="B157" s="2"/>
      <c r="C157" s="1" t="str">
        <f>'ING.MATRIZ'!C150</f>
        <v>340</v>
      </c>
      <c r="D157" s="2"/>
      <c r="E157" s="2"/>
      <c r="F157" s="2"/>
      <c r="G157" s="13" t="str">
        <f>'ING.MATRIZ'!G150</f>
        <v>SALDO INICIAL DE CAJA</v>
      </c>
      <c r="H157" s="3">
        <f>+H161</f>
        <v>0</v>
      </c>
      <c r="I157" s="3">
        <f aca="true" t="shared" si="38" ref="I157:U157">+I161</f>
        <v>223820097</v>
      </c>
      <c r="J157" s="3">
        <f t="shared" si="38"/>
        <v>223820097</v>
      </c>
      <c r="K157" s="3">
        <f t="shared" si="38"/>
        <v>0</v>
      </c>
      <c r="L157" s="3">
        <f t="shared" si="38"/>
        <v>0</v>
      </c>
      <c r="M157" s="3">
        <f t="shared" si="38"/>
        <v>0</v>
      </c>
      <c r="N157" s="3">
        <f t="shared" si="38"/>
        <v>223820097</v>
      </c>
      <c r="O157" s="3">
        <f t="shared" si="32"/>
        <v>223820097</v>
      </c>
      <c r="P157" s="3">
        <f t="shared" si="38"/>
        <v>0</v>
      </c>
      <c r="Q157" s="3">
        <f t="shared" si="38"/>
        <v>0</v>
      </c>
      <c r="R157" s="3">
        <f t="shared" si="38"/>
        <v>0</v>
      </c>
      <c r="S157" s="3">
        <f t="shared" si="38"/>
        <v>0</v>
      </c>
      <c r="T157" s="3">
        <f t="shared" si="38"/>
        <v>223820097</v>
      </c>
      <c r="U157" s="3">
        <f t="shared" si="38"/>
        <v>223820097</v>
      </c>
      <c r="V157" s="6">
        <f t="shared" si="30"/>
        <v>100</v>
      </c>
    </row>
    <row r="158" spans="1:22" s="59" customFormat="1" ht="18.75" customHeight="1" hidden="1">
      <c r="A158" s="260"/>
      <c r="B158" s="1"/>
      <c r="C158" s="1"/>
      <c r="D158" s="1" t="str">
        <f>'ING.MATRIZ'!D151</f>
        <v>341</v>
      </c>
      <c r="E158" s="1"/>
      <c r="F158" s="1"/>
      <c r="G158" s="13" t="str">
        <f>'ING.MATRIZ'!G151</f>
        <v>Saldo Inicial de Tesorería</v>
      </c>
      <c r="H158" s="3">
        <f>SUM(H159:H160)</f>
        <v>0</v>
      </c>
      <c r="I158" s="3">
        <f aca="true" t="shared" si="39" ref="I158:U158">SUM(I159:I160)</f>
        <v>0</v>
      </c>
      <c r="J158" s="3">
        <f t="shared" si="39"/>
        <v>0</v>
      </c>
      <c r="K158" s="3">
        <f t="shared" si="39"/>
        <v>0</v>
      </c>
      <c r="L158" s="3">
        <f t="shared" si="39"/>
        <v>0</v>
      </c>
      <c r="M158" s="3">
        <f t="shared" si="39"/>
        <v>0</v>
      </c>
      <c r="N158" s="3">
        <f t="shared" si="39"/>
        <v>0</v>
      </c>
      <c r="O158" s="3">
        <f t="shared" si="32"/>
        <v>0</v>
      </c>
      <c r="P158" s="3">
        <f t="shared" si="39"/>
        <v>0</v>
      </c>
      <c r="Q158" s="3">
        <f t="shared" si="39"/>
        <v>0</v>
      </c>
      <c r="R158" s="3">
        <f t="shared" si="39"/>
        <v>0</v>
      </c>
      <c r="S158" s="3">
        <f t="shared" si="39"/>
        <v>0</v>
      </c>
      <c r="T158" s="3">
        <f t="shared" si="39"/>
        <v>0</v>
      </c>
      <c r="U158" s="3">
        <f t="shared" si="39"/>
        <v>0</v>
      </c>
      <c r="V158" s="6" t="e">
        <f t="shared" si="30"/>
        <v>#DIV/0!</v>
      </c>
    </row>
    <row r="159" spans="1:22" s="59" customFormat="1" ht="18.75" customHeight="1" hidden="1">
      <c r="A159" s="260"/>
      <c r="B159" s="2"/>
      <c r="C159" s="2"/>
      <c r="D159" s="2"/>
      <c r="E159" s="2"/>
      <c r="F159" s="2"/>
      <c r="G159" s="23"/>
      <c r="H159" s="5"/>
      <c r="I159" s="5"/>
      <c r="J159" s="5"/>
      <c r="K159" s="5"/>
      <c r="L159" s="5"/>
      <c r="M159" s="5"/>
      <c r="N159" s="5"/>
      <c r="O159" s="5">
        <f t="shared" si="32"/>
        <v>0</v>
      </c>
      <c r="P159" s="5"/>
      <c r="Q159" s="5"/>
      <c r="R159" s="5"/>
      <c r="S159" s="5"/>
      <c r="T159" s="5"/>
      <c r="U159" s="5"/>
      <c r="V159" s="6" t="e">
        <f t="shared" si="30"/>
        <v>#DIV/0!</v>
      </c>
    </row>
    <row r="160" spans="1:22" s="59" customFormat="1" ht="18.75" customHeight="1" hidden="1">
      <c r="A160" s="260"/>
      <c r="B160" s="2"/>
      <c r="C160" s="2"/>
      <c r="D160" s="2"/>
      <c r="E160" s="2"/>
      <c r="F160" s="2"/>
      <c r="G160" s="23"/>
      <c r="H160" s="5"/>
      <c r="I160" s="5"/>
      <c r="J160" s="5"/>
      <c r="K160" s="5"/>
      <c r="L160" s="5"/>
      <c r="M160" s="5"/>
      <c r="N160" s="5"/>
      <c r="O160" s="5">
        <f t="shared" si="32"/>
        <v>0</v>
      </c>
      <c r="P160" s="5"/>
      <c r="Q160" s="5"/>
      <c r="R160" s="5"/>
      <c r="S160" s="5"/>
      <c r="T160" s="5"/>
      <c r="U160" s="5"/>
      <c r="V160" s="6" t="e">
        <f t="shared" si="30"/>
        <v>#DIV/0!</v>
      </c>
    </row>
    <row r="161" spans="1:22" s="59" customFormat="1" ht="18">
      <c r="A161" s="260"/>
      <c r="B161" s="1"/>
      <c r="C161" s="1"/>
      <c r="D161" s="1" t="str">
        <f>'ING.MATRIZ'!D154</f>
        <v>343</v>
      </c>
      <c r="E161" s="1"/>
      <c r="F161" s="1"/>
      <c r="G161" s="13" t="str">
        <f>'ING.MATRIZ'!G154</f>
        <v>Saldo Inicial de Recursos Institucionales</v>
      </c>
      <c r="H161" s="3">
        <f>+H162</f>
        <v>0</v>
      </c>
      <c r="I161" s="3">
        <f aca="true" t="shared" si="40" ref="I161:U161">+I162</f>
        <v>223820097</v>
      </c>
      <c r="J161" s="3">
        <f t="shared" si="40"/>
        <v>223820097</v>
      </c>
      <c r="K161" s="3">
        <f t="shared" si="40"/>
        <v>0</v>
      </c>
      <c r="L161" s="3">
        <f t="shared" si="40"/>
        <v>0</v>
      </c>
      <c r="M161" s="3">
        <f t="shared" si="40"/>
        <v>0</v>
      </c>
      <c r="N161" s="3">
        <f t="shared" si="40"/>
        <v>223820097</v>
      </c>
      <c r="O161" s="3">
        <f t="shared" si="32"/>
        <v>223820097</v>
      </c>
      <c r="P161" s="3">
        <f t="shared" si="40"/>
        <v>0</v>
      </c>
      <c r="Q161" s="3">
        <f t="shared" si="40"/>
        <v>0</v>
      </c>
      <c r="R161" s="3">
        <f t="shared" si="40"/>
        <v>0</v>
      </c>
      <c r="S161" s="3">
        <f t="shared" si="40"/>
        <v>0</v>
      </c>
      <c r="T161" s="3">
        <f t="shared" si="40"/>
        <v>223820097</v>
      </c>
      <c r="U161" s="3">
        <f t="shared" si="40"/>
        <v>223820097</v>
      </c>
      <c r="V161" s="6">
        <f t="shared" si="30"/>
        <v>100</v>
      </c>
    </row>
    <row r="162" spans="1:22" s="59" customFormat="1" ht="18">
      <c r="A162" s="260"/>
      <c r="B162" s="2"/>
      <c r="C162" s="2"/>
      <c r="D162" s="2" t="str">
        <f>'ING.MATRIZ'!D155</f>
        <v>343</v>
      </c>
      <c r="E162" s="2" t="str">
        <f>'ING.MATRIZ'!E155</f>
        <v>010</v>
      </c>
      <c r="F162" s="2" t="str">
        <f>'ING.MATRIZ'!F155</f>
        <v>003</v>
      </c>
      <c r="G162" s="23" t="str">
        <f>'ING.MATRIZ'!G155</f>
        <v>De Recursos FONACIDE</v>
      </c>
      <c r="H162" s="5">
        <f>'ING.MATRIZ'!H155</f>
        <v>0</v>
      </c>
      <c r="I162" s="5">
        <f>'ING.MATRIZ'!I155</f>
        <v>223820097</v>
      </c>
      <c r="J162" s="5">
        <f>H162+I162</f>
        <v>223820097</v>
      </c>
      <c r="K162" s="15">
        <v>0</v>
      </c>
      <c r="L162" s="15">
        <v>0</v>
      </c>
      <c r="M162" s="59">
        <v>0</v>
      </c>
      <c r="N162" s="15">
        <v>223820097</v>
      </c>
      <c r="O162" s="15">
        <f t="shared" si="32"/>
        <v>223820097</v>
      </c>
      <c r="P162" s="15">
        <v>0</v>
      </c>
      <c r="Q162" s="15">
        <v>0</v>
      </c>
      <c r="R162" s="15"/>
      <c r="S162" s="15"/>
      <c r="T162" s="15">
        <f>+O162+P162+Q162+R162+S162</f>
        <v>223820097</v>
      </c>
      <c r="U162" s="15">
        <f>+T162</f>
        <v>223820097</v>
      </c>
      <c r="V162" s="6">
        <f t="shared" si="30"/>
        <v>100</v>
      </c>
    </row>
    <row r="163" spans="1:22" s="59" customFormat="1" ht="18">
      <c r="A163" s="260"/>
      <c r="B163" s="2"/>
      <c r="C163" s="2"/>
      <c r="D163" s="2"/>
      <c r="E163" s="2"/>
      <c r="F163" s="2"/>
      <c r="G163" s="23"/>
      <c r="H163" s="5"/>
      <c r="I163" s="5"/>
      <c r="J163" s="5"/>
      <c r="K163" s="15"/>
      <c r="L163" s="15"/>
      <c r="M163" s="15"/>
      <c r="N163" s="15"/>
      <c r="O163" s="15">
        <f t="shared" si="32"/>
        <v>0</v>
      </c>
      <c r="P163" s="15"/>
      <c r="Q163" s="15"/>
      <c r="R163" s="15"/>
      <c r="S163" s="15"/>
      <c r="T163" s="15"/>
      <c r="U163" s="15"/>
      <c r="V163" s="6"/>
    </row>
    <row r="164" spans="1:22" s="165" customFormat="1" ht="17.25">
      <c r="A164" s="33"/>
      <c r="B164" s="31"/>
      <c r="C164" s="31"/>
      <c r="D164" s="32"/>
      <c r="E164" s="32"/>
      <c r="F164" s="32"/>
      <c r="G164" s="51" t="s">
        <v>85</v>
      </c>
      <c r="H164" s="52">
        <f aca="true" t="shared" si="41" ref="H164:U164">H12+H128+H147</f>
        <v>742822888</v>
      </c>
      <c r="I164" s="52">
        <f t="shared" si="41"/>
        <v>223820097</v>
      </c>
      <c r="J164" s="52">
        <f t="shared" si="41"/>
        <v>966642985</v>
      </c>
      <c r="K164" s="52">
        <f t="shared" si="41"/>
        <v>0</v>
      </c>
      <c r="L164" s="52">
        <f t="shared" si="41"/>
        <v>0</v>
      </c>
      <c r="M164" s="52">
        <f t="shared" si="41"/>
        <v>107318582</v>
      </c>
      <c r="N164" s="52">
        <f t="shared" si="41"/>
        <v>223820097</v>
      </c>
      <c r="O164" s="52">
        <f t="shared" si="41"/>
        <v>331138679</v>
      </c>
      <c r="P164" s="52">
        <f t="shared" si="41"/>
        <v>0</v>
      </c>
      <c r="Q164" s="52">
        <f t="shared" si="41"/>
        <v>0</v>
      </c>
      <c r="R164" s="52">
        <f t="shared" si="41"/>
        <v>215980781</v>
      </c>
      <c r="S164" s="52">
        <f t="shared" si="41"/>
        <v>19986955</v>
      </c>
      <c r="T164" s="52">
        <f>T12+T128+T147</f>
        <v>567106415</v>
      </c>
      <c r="U164" s="52">
        <f t="shared" si="41"/>
        <v>567106415</v>
      </c>
      <c r="V164" s="53">
        <f>U164*100/J164</f>
        <v>58.66761811756178</v>
      </c>
    </row>
    <row r="165" spans="2:21" s="486" customFormat="1" ht="12.75">
      <c r="B165" s="487"/>
      <c r="C165" s="487"/>
      <c r="D165" s="487"/>
      <c r="E165" s="487"/>
      <c r="F165" s="487"/>
      <c r="G165" s="488"/>
      <c r="H165" s="486">
        <v>742822888</v>
      </c>
      <c r="I165" s="486">
        <v>223820097</v>
      </c>
      <c r="J165" s="486">
        <v>966642985</v>
      </c>
      <c r="K165" s="486">
        <v>0</v>
      </c>
      <c r="L165" s="486">
        <v>0</v>
      </c>
      <c r="M165" s="486">
        <v>107318582</v>
      </c>
      <c r="N165" s="486">
        <v>223820097</v>
      </c>
      <c r="O165" s="486">
        <v>331138679</v>
      </c>
      <c r="P165" s="486">
        <v>0</v>
      </c>
      <c r="Q165" s="486">
        <v>0</v>
      </c>
      <c r="R165" s="486">
        <v>215980781</v>
      </c>
      <c r="S165" s="486">
        <v>19986955</v>
      </c>
      <c r="T165" s="486">
        <f>+O165+P165+Q165+R165+S165</f>
        <v>567106415</v>
      </c>
      <c r="U165" s="489"/>
    </row>
    <row r="166" spans="2:21" s="486" customFormat="1" ht="11.25">
      <c r="B166" s="487"/>
      <c r="C166" s="487"/>
      <c r="D166" s="487"/>
      <c r="E166" s="487"/>
      <c r="F166" s="487"/>
      <c r="G166" s="488"/>
      <c r="H166" s="486">
        <f>+H164-H165</f>
        <v>0</v>
      </c>
      <c r="I166" s="486">
        <f aca="true" t="shared" si="42" ref="I166:U166">+I164-I165</f>
        <v>0</v>
      </c>
      <c r="J166" s="486">
        <f t="shared" si="42"/>
        <v>0</v>
      </c>
      <c r="K166" s="486">
        <f t="shared" si="42"/>
        <v>0</v>
      </c>
      <c r="L166" s="486">
        <f t="shared" si="42"/>
        <v>0</v>
      </c>
      <c r="M166" s="486">
        <f t="shared" si="42"/>
        <v>0</v>
      </c>
      <c r="N166" s="486">
        <f t="shared" si="42"/>
        <v>0</v>
      </c>
      <c r="P166" s="486">
        <f t="shared" si="42"/>
        <v>0</v>
      </c>
      <c r="Q166" s="486">
        <f t="shared" si="42"/>
        <v>0</v>
      </c>
      <c r="T166" s="486">
        <f>+T164-T165</f>
        <v>0</v>
      </c>
      <c r="U166" s="486">
        <f t="shared" si="42"/>
        <v>567106415</v>
      </c>
    </row>
    <row r="167" spans="1:21" s="493" customFormat="1" ht="12.75">
      <c r="A167" s="490"/>
      <c r="B167" s="491"/>
      <c r="C167" s="491"/>
      <c r="D167" s="491"/>
      <c r="E167" s="491"/>
      <c r="F167" s="491"/>
      <c r="G167" s="492"/>
      <c r="U167" s="494"/>
    </row>
    <row r="169" spans="6:23" s="263" customFormat="1" ht="15.75">
      <c r="F169" s="518" t="s">
        <v>509</v>
      </c>
      <c r="G169" s="518"/>
      <c r="J169" s="265" t="s">
        <v>519</v>
      </c>
      <c r="R169" s="444"/>
      <c r="S169" s="266" t="s">
        <v>541</v>
      </c>
      <c r="U169" s="444"/>
      <c r="V169" s="266"/>
      <c r="W169" s="267"/>
    </row>
    <row r="170" spans="2:19" s="262" customFormat="1" ht="15">
      <c r="B170" s="268"/>
      <c r="C170" s="268"/>
      <c r="D170" s="268"/>
      <c r="E170" s="268"/>
      <c r="F170" s="522" t="s">
        <v>498</v>
      </c>
      <c r="G170" s="522"/>
      <c r="J170" s="268" t="s">
        <v>477</v>
      </c>
      <c r="S170" s="262" t="s">
        <v>473</v>
      </c>
    </row>
    <row r="171" spans="7:23" s="119" customFormat="1" ht="14.25">
      <c r="G171" s="120"/>
      <c r="J171" s="122"/>
      <c r="K171" s="122"/>
      <c r="U171" s="121"/>
      <c r="V171" s="122"/>
      <c r="W171" s="123"/>
    </row>
  </sheetData>
  <sheetProtection/>
  <mergeCells count="16">
    <mergeCell ref="U6:V6"/>
    <mergeCell ref="O9:O10"/>
    <mergeCell ref="B7:C7"/>
    <mergeCell ref="E7:F7"/>
    <mergeCell ref="B9:F9"/>
    <mergeCell ref="G9:G10"/>
    <mergeCell ref="H9:H10"/>
    <mergeCell ref="I9:I10"/>
    <mergeCell ref="U9:U10"/>
    <mergeCell ref="P9:S9"/>
    <mergeCell ref="F169:G169"/>
    <mergeCell ref="F170:G170"/>
    <mergeCell ref="V9:V10"/>
    <mergeCell ref="T9:T10"/>
    <mergeCell ref="J9:J10"/>
    <mergeCell ref="K9:N9"/>
  </mergeCells>
  <printOptions/>
  <pageMargins left="1.0236220472440944" right="0" top="0.3937007874015748" bottom="1.1811023622047245" header="0" footer="0.2362204724409449"/>
  <pageSetup horizontalDpi="300" verticalDpi="300" orientation="landscape" paperSize="190" scale="75" r:id="rId1"/>
  <headerFooter alignWithMargins="0"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AB173"/>
  <sheetViews>
    <sheetView tabSelected="1" zoomScalePageLayoutView="0" workbookViewId="0" topLeftCell="F135">
      <selection activeCell="H136" sqref="H136"/>
    </sheetView>
  </sheetViews>
  <sheetFormatPr defaultColWidth="11.421875" defaultRowHeight="12.75"/>
  <cols>
    <col min="1" max="1" width="7.421875" style="124" customWidth="1"/>
    <col min="2" max="2" width="5.140625" style="56" customWidth="1"/>
    <col min="3" max="3" width="4.8515625" style="56" customWidth="1"/>
    <col min="4" max="4" width="4.8515625" style="56" bestFit="1" customWidth="1"/>
    <col min="5" max="6" width="3.57421875" style="56" bestFit="1" customWidth="1"/>
    <col min="7" max="7" width="53.7109375" style="71" customWidth="1"/>
    <col min="8" max="8" width="12.28125" style="11" customWidth="1"/>
    <col min="9" max="9" width="13.57421875" style="11" customWidth="1"/>
    <col min="10" max="10" width="13.140625" style="11" customWidth="1"/>
    <col min="11" max="11" width="12.28125" style="11" hidden="1" customWidth="1"/>
    <col min="12" max="12" width="10.8515625" style="11" hidden="1" customWidth="1"/>
    <col min="13" max="13" width="11.28125" style="11" hidden="1" customWidth="1"/>
    <col min="14" max="14" width="9.8515625" style="11" hidden="1" customWidth="1"/>
    <col min="15" max="15" width="11.28125" style="11" customWidth="1"/>
    <col min="16" max="17" width="10.8515625" style="11" customWidth="1"/>
    <col min="18" max="18" width="14.421875" style="11" bestFit="1" customWidth="1"/>
    <col min="19" max="19" width="10.8515625" style="11" customWidth="1"/>
    <col min="20" max="20" width="13.8515625" style="11" customWidth="1"/>
    <col min="21" max="21" width="15.28125" style="63" customWidth="1"/>
    <col min="22" max="22" width="5.140625" style="11" customWidth="1"/>
    <col min="23" max="23" width="3.00390625" style="11" customWidth="1"/>
    <col min="24" max="16384" width="11.421875" style="11" customWidth="1"/>
  </cols>
  <sheetData>
    <row r="2" spans="2:27" s="12" customFormat="1" ht="12.75">
      <c r="B2" s="73"/>
      <c r="C2" s="73"/>
      <c r="D2" s="73"/>
      <c r="E2" s="73"/>
      <c r="F2" s="73"/>
      <c r="G2" s="74"/>
      <c r="AA2" s="63"/>
    </row>
    <row r="3" spans="1:27" s="12" customFormat="1" ht="34.5">
      <c r="A3" s="73"/>
      <c r="B3" s="73"/>
      <c r="C3" s="73"/>
      <c r="D3" s="73"/>
      <c r="E3" s="73"/>
      <c r="F3" s="73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AA3" s="63"/>
    </row>
    <row r="4" spans="2:28" s="12" customFormat="1" ht="12.75"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</row>
    <row r="5" spans="2:22" s="12" customFormat="1" ht="13.5">
      <c r="B5" s="127"/>
      <c r="C5" s="127"/>
      <c r="D5" s="127"/>
      <c r="E5" s="127"/>
      <c r="F5" s="127"/>
      <c r="G5" s="149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48"/>
    </row>
    <row r="6" spans="2:22" s="245" customFormat="1" ht="24">
      <c r="B6" s="249" t="s">
        <v>475</v>
      </c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7"/>
    </row>
    <row r="7" spans="2:22" s="248" customFormat="1" ht="18">
      <c r="B7" s="166" t="str">
        <f>'ING.MATRIZ'!B3</f>
        <v>CORRESPONDIENTE AL SEGUNDO CUATRIMESTRE DE 2016</v>
      </c>
      <c r="C7" s="167"/>
      <c r="D7" s="167"/>
      <c r="E7" s="167"/>
      <c r="F7" s="167"/>
      <c r="G7" s="167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574"/>
      <c r="V7" s="575"/>
    </row>
    <row r="8" spans="2:22" s="73" customFormat="1" ht="13.5">
      <c r="B8" s="568" t="s">
        <v>282</v>
      </c>
      <c r="C8" s="569"/>
      <c r="D8" s="49">
        <v>30</v>
      </c>
      <c r="E8" s="570" t="s">
        <v>281</v>
      </c>
      <c r="F8" s="570"/>
      <c r="G8" s="92" t="str">
        <f>'ING.MATRIZ'!G4</f>
        <v>235 MUNICIPALIDAD DE CARMELO PERALTA</v>
      </c>
      <c r="H8" s="293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151" t="s">
        <v>290</v>
      </c>
      <c r="V8" s="152"/>
    </row>
    <row r="9" spans="2:22" s="153" customFormat="1" ht="3.75">
      <c r="B9" s="154"/>
      <c r="C9" s="155"/>
      <c r="D9" s="155"/>
      <c r="E9" s="155"/>
      <c r="F9" s="155"/>
      <c r="G9" s="156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7"/>
    </row>
    <row r="10" spans="1:22" s="56" customFormat="1" ht="15" customHeight="1">
      <c r="A10" s="55"/>
      <c r="B10" s="576" t="s">
        <v>11</v>
      </c>
      <c r="C10" s="577"/>
      <c r="D10" s="577"/>
      <c r="E10" s="577"/>
      <c r="F10" s="578"/>
      <c r="G10" s="588" t="s">
        <v>12</v>
      </c>
      <c r="H10" s="571" t="s">
        <v>230</v>
      </c>
      <c r="I10" s="571" t="s">
        <v>243</v>
      </c>
      <c r="J10" s="571" t="s">
        <v>223</v>
      </c>
      <c r="K10" s="585" t="s">
        <v>247</v>
      </c>
      <c r="L10" s="585"/>
      <c r="M10" s="585"/>
      <c r="N10" s="585"/>
      <c r="O10" s="586" t="s">
        <v>565</v>
      </c>
      <c r="P10" s="590" t="s">
        <v>247</v>
      </c>
      <c r="Q10" s="591"/>
      <c r="R10" s="591"/>
      <c r="S10" s="592"/>
      <c r="T10" s="571" t="s">
        <v>239</v>
      </c>
      <c r="U10" s="571" t="s">
        <v>240</v>
      </c>
      <c r="V10" s="579" t="s">
        <v>13</v>
      </c>
    </row>
    <row r="11" spans="1:22" s="56" customFormat="1" ht="22.5">
      <c r="A11" s="57"/>
      <c r="B11" s="238" t="s">
        <v>288</v>
      </c>
      <c r="C11" s="238" t="s">
        <v>160</v>
      </c>
      <c r="D11" s="238" t="s">
        <v>289</v>
      </c>
      <c r="E11" s="238" t="s">
        <v>83</v>
      </c>
      <c r="F11" s="238" t="s">
        <v>84</v>
      </c>
      <c r="G11" s="589"/>
      <c r="H11" s="572"/>
      <c r="I11" s="572"/>
      <c r="J11" s="572"/>
      <c r="K11" s="54">
        <v>40909</v>
      </c>
      <c r="L11" s="54">
        <v>40940</v>
      </c>
      <c r="M11" s="54">
        <v>40969</v>
      </c>
      <c r="N11" s="54">
        <v>41000</v>
      </c>
      <c r="O11" s="587"/>
      <c r="P11" s="54">
        <v>41030</v>
      </c>
      <c r="Q11" s="54">
        <v>41061</v>
      </c>
      <c r="R11" s="54">
        <v>41091</v>
      </c>
      <c r="S11" s="54">
        <v>41122</v>
      </c>
      <c r="T11" s="572"/>
      <c r="U11" s="572"/>
      <c r="V11" s="580"/>
    </row>
    <row r="12" spans="1:22" s="165" customFormat="1" ht="20.25">
      <c r="A12" s="150"/>
      <c r="B12" s="31"/>
      <c r="C12" s="31"/>
      <c r="D12" s="32"/>
      <c r="E12" s="32"/>
      <c r="F12" s="32"/>
      <c r="G12" s="51" t="s">
        <v>85</v>
      </c>
      <c r="H12" s="52">
        <f>H13+H129+H148</f>
        <v>1269225249</v>
      </c>
      <c r="I12" s="480">
        <f aca="true" t="shared" si="0" ref="I12:U12">I13+I129+I148</f>
        <v>0</v>
      </c>
      <c r="J12" s="52">
        <f t="shared" si="0"/>
        <v>1269225249</v>
      </c>
      <c r="K12" s="52">
        <f t="shared" si="0"/>
        <v>330833165</v>
      </c>
      <c r="L12" s="52">
        <f t="shared" si="0"/>
        <v>0</v>
      </c>
      <c r="M12" s="52">
        <f t="shared" si="0"/>
        <v>415522049</v>
      </c>
      <c r="N12" s="52">
        <f aca="true" t="shared" si="1" ref="N12:S12">N13+N129+N148</f>
        <v>0</v>
      </c>
      <c r="O12" s="52">
        <f>SUM(K12:N12)</f>
        <v>746355214</v>
      </c>
      <c r="P12" s="52">
        <f t="shared" si="1"/>
        <v>0</v>
      </c>
      <c r="Q12" s="52">
        <f t="shared" si="1"/>
        <v>0</v>
      </c>
      <c r="R12" s="52">
        <f t="shared" si="1"/>
        <v>478238535</v>
      </c>
      <c r="S12" s="52">
        <f t="shared" si="1"/>
        <v>96345381</v>
      </c>
      <c r="T12" s="52">
        <f>+O12+P12+Q12+R12+S12</f>
        <v>1320939130</v>
      </c>
      <c r="U12" s="52">
        <f t="shared" si="0"/>
        <v>1320939130</v>
      </c>
      <c r="V12" s="53">
        <f>U12*100/J12</f>
        <v>104.07444470875004</v>
      </c>
    </row>
    <row r="13" spans="1:22" s="12" customFormat="1" ht="17.25">
      <c r="A13" s="33"/>
      <c r="B13" s="9">
        <f>'ING.MATRIZ'!B9</f>
        <v>100</v>
      </c>
      <c r="C13" s="9"/>
      <c r="D13" s="10"/>
      <c r="E13" s="10"/>
      <c r="F13" s="10"/>
      <c r="G13" s="37" t="str">
        <f>'ING.MATRIZ'!G9</f>
        <v>INGRESOS CORRIENTES</v>
      </c>
      <c r="H13" s="34">
        <f aca="true" t="shared" si="2" ref="H13:M13">H14+H45+H66+H87+H96+H117+H124</f>
        <v>284154906</v>
      </c>
      <c r="I13" s="418">
        <f t="shared" si="2"/>
        <v>-30309856</v>
      </c>
      <c r="J13" s="34">
        <f t="shared" si="2"/>
        <v>253845050</v>
      </c>
      <c r="K13" s="34">
        <f t="shared" si="2"/>
        <v>66166633</v>
      </c>
      <c r="L13" s="34">
        <f t="shared" si="2"/>
        <v>0</v>
      </c>
      <c r="M13" s="34">
        <f t="shared" si="2"/>
        <v>83104410</v>
      </c>
      <c r="N13" s="34">
        <f aca="true" t="shared" si="3" ref="N13:S13">N14+N45+N66+N87+N96+N117+N124</f>
        <v>0</v>
      </c>
      <c r="O13" s="34">
        <f aca="true" t="shared" si="4" ref="O13:O76">SUM(K13:N13)</f>
        <v>149271043</v>
      </c>
      <c r="P13" s="34">
        <f t="shared" si="3"/>
        <v>0</v>
      </c>
      <c r="Q13" s="34">
        <f t="shared" si="3"/>
        <v>0</v>
      </c>
      <c r="R13" s="34">
        <f t="shared" si="3"/>
        <v>95647707</v>
      </c>
      <c r="S13" s="34">
        <f t="shared" si="3"/>
        <v>19269076</v>
      </c>
      <c r="T13" s="52">
        <f aca="true" t="shared" si="5" ref="T13:T76">+O13+P13+Q13+R13+S13</f>
        <v>264187826</v>
      </c>
      <c r="U13" s="34">
        <f>+U87</f>
        <v>264187826</v>
      </c>
      <c r="V13" s="36">
        <f>U13*100/J13</f>
        <v>104.07444462675163</v>
      </c>
    </row>
    <row r="14" spans="1:22" s="59" customFormat="1" ht="13.5" customHeight="1" hidden="1">
      <c r="A14" s="58"/>
      <c r="B14" s="1"/>
      <c r="C14" s="1">
        <f>'ING.MATRIZ'!C10</f>
        <v>110</v>
      </c>
      <c r="D14" s="2"/>
      <c r="E14" s="2"/>
      <c r="F14" s="2"/>
      <c r="G14" s="13" t="str">
        <f>'ING.MATRIZ'!G10</f>
        <v>INGRESOS TRIBUTARIOS</v>
      </c>
      <c r="H14" s="4">
        <f aca="true" t="shared" si="6" ref="H14:M14">H15+H25+H40</f>
        <v>0</v>
      </c>
      <c r="I14" s="419">
        <f t="shared" si="6"/>
        <v>0</v>
      </c>
      <c r="J14" s="4">
        <f t="shared" si="6"/>
        <v>0</v>
      </c>
      <c r="K14" s="4">
        <f t="shared" si="6"/>
        <v>0</v>
      </c>
      <c r="L14" s="4">
        <f t="shared" si="6"/>
        <v>0</v>
      </c>
      <c r="M14" s="4">
        <f t="shared" si="6"/>
        <v>0</v>
      </c>
      <c r="N14" s="4">
        <f aca="true" t="shared" si="7" ref="N14:S14">N15+N25+N40</f>
        <v>0</v>
      </c>
      <c r="O14" s="4">
        <f t="shared" si="4"/>
        <v>0</v>
      </c>
      <c r="P14" s="4">
        <f t="shared" si="7"/>
        <v>0</v>
      </c>
      <c r="Q14" s="4">
        <f t="shared" si="7"/>
        <v>0</v>
      </c>
      <c r="R14" s="4">
        <f t="shared" si="7"/>
        <v>0</v>
      </c>
      <c r="S14" s="4">
        <f t="shared" si="7"/>
        <v>0</v>
      </c>
      <c r="T14" s="52">
        <f t="shared" si="5"/>
        <v>0</v>
      </c>
      <c r="U14" s="4" t="e">
        <f>#REF!+#REF!+#REF!</f>
        <v>#REF!</v>
      </c>
      <c r="V14" s="6" t="e">
        <f>U14*100/J14</f>
        <v>#REF!</v>
      </c>
    </row>
    <row r="15" spans="1:22" s="59" customFormat="1" ht="13.5" customHeight="1" hidden="1">
      <c r="A15" s="58"/>
      <c r="B15" s="1"/>
      <c r="C15" s="1"/>
      <c r="D15" s="1">
        <f>'ING.MATRIZ'!D11</f>
        <v>112</v>
      </c>
      <c r="E15" s="1"/>
      <c r="F15" s="1"/>
      <c r="G15" s="13" t="str">
        <f>'ING.MATRIZ'!G11</f>
        <v>Impuesto sobre la Propiedad</v>
      </c>
      <c r="H15" s="4">
        <f aca="true" t="shared" si="8" ref="H15:M15">SUM(H16:H23)</f>
        <v>0</v>
      </c>
      <c r="I15" s="419">
        <f t="shared" si="8"/>
        <v>0</v>
      </c>
      <c r="J15" s="4">
        <f t="shared" si="8"/>
        <v>0</v>
      </c>
      <c r="K15" s="4">
        <f t="shared" si="8"/>
        <v>0</v>
      </c>
      <c r="L15" s="4">
        <f t="shared" si="8"/>
        <v>0</v>
      </c>
      <c r="M15" s="4">
        <f t="shared" si="8"/>
        <v>0</v>
      </c>
      <c r="N15" s="4">
        <f aca="true" t="shared" si="9" ref="N15:S15">SUM(N16:N23)</f>
        <v>0</v>
      </c>
      <c r="O15" s="4">
        <f t="shared" si="4"/>
        <v>0</v>
      </c>
      <c r="P15" s="4">
        <f t="shared" si="9"/>
        <v>0</v>
      </c>
      <c r="Q15" s="4">
        <f t="shared" si="9"/>
        <v>0</v>
      </c>
      <c r="R15" s="4">
        <f t="shared" si="9"/>
        <v>0</v>
      </c>
      <c r="S15" s="4">
        <f t="shared" si="9"/>
        <v>0</v>
      </c>
      <c r="T15" s="52">
        <f t="shared" si="5"/>
        <v>0</v>
      </c>
      <c r="U15" s="4" t="e">
        <f>#REF!+#REF!+#REF!</f>
        <v>#REF!</v>
      </c>
      <c r="V15" s="6" t="e">
        <f>U15*100/J15</f>
        <v>#REF!</v>
      </c>
    </row>
    <row r="16" spans="1:22" s="59" customFormat="1" ht="13.5" customHeight="1" hidden="1">
      <c r="A16" s="58"/>
      <c r="B16" s="1"/>
      <c r="C16" s="1"/>
      <c r="D16" s="2"/>
      <c r="E16" s="2"/>
      <c r="F16" s="2"/>
      <c r="G16" s="14"/>
      <c r="H16" s="15"/>
      <c r="I16" s="420"/>
      <c r="J16" s="15"/>
      <c r="K16" s="15"/>
      <c r="L16" s="15"/>
      <c r="M16" s="15"/>
      <c r="N16" s="15"/>
      <c r="O16" s="15">
        <f t="shared" si="4"/>
        <v>0</v>
      </c>
      <c r="P16" s="15"/>
      <c r="Q16" s="15"/>
      <c r="R16" s="15"/>
      <c r="S16" s="15"/>
      <c r="T16" s="52">
        <f t="shared" si="5"/>
        <v>0</v>
      </c>
      <c r="U16" s="15"/>
      <c r="V16" s="6"/>
    </row>
    <row r="17" spans="1:22" s="59" customFormat="1" ht="13.5" customHeight="1" hidden="1">
      <c r="A17" s="58"/>
      <c r="B17" s="1"/>
      <c r="C17" s="1"/>
      <c r="D17" s="2"/>
      <c r="E17" s="2"/>
      <c r="F17" s="2"/>
      <c r="G17" s="14"/>
      <c r="H17" s="15"/>
      <c r="I17" s="420"/>
      <c r="J17" s="15"/>
      <c r="K17" s="15"/>
      <c r="L17" s="15"/>
      <c r="M17" s="15"/>
      <c r="N17" s="15"/>
      <c r="O17" s="15">
        <f t="shared" si="4"/>
        <v>0</v>
      </c>
      <c r="P17" s="15"/>
      <c r="Q17" s="15"/>
      <c r="R17" s="15"/>
      <c r="S17" s="15"/>
      <c r="T17" s="52">
        <f t="shared" si="5"/>
        <v>0</v>
      </c>
      <c r="U17" s="15"/>
      <c r="V17" s="6"/>
    </row>
    <row r="18" spans="1:22" s="59" customFormat="1" ht="13.5" customHeight="1" hidden="1">
      <c r="A18" s="58"/>
      <c r="B18" s="1"/>
      <c r="C18" s="1"/>
      <c r="D18" s="2"/>
      <c r="E18" s="2"/>
      <c r="F18" s="2"/>
      <c r="G18" s="14"/>
      <c r="H18" s="15"/>
      <c r="I18" s="420"/>
      <c r="J18" s="15"/>
      <c r="K18" s="15"/>
      <c r="L18" s="15"/>
      <c r="M18" s="15"/>
      <c r="N18" s="15"/>
      <c r="O18" s="15">
        <f t="shared" si="4"/>
        <v>0</v>
      </c>
      <c r="P18" s="15"/>
      <c r="Q18" s="15"/>
      <c r="R18" s="15"/>
      <c r="S18" s="15"/>
      <c r="T18" s="52">
        <f t="shared" si="5"/>
        <v>0</v>
      </c>
      <c r="U18" s="15"/>
      <c r="V18" s="6"/>
    </row>
    <row r="19" spans="1:22" s="59" customFormat="1" ht="13.5" customHeight="1" hidden="1">
      <c r="A19" s="58"/>
      <c r="B19" s="1"/>
      <c r="C19" s="1"/>
      <c r="D19" s="2"/>
      <c r="E19" s="2"/>
      <c r="F19" s="2"/>
      <c r="G19" s="14"/>
      <c r="H19" s="15"/>
      <c r="I19" s="420"/>
      <c r="J19" s="15"/>
      <c r="K19" s="15"/>
      <c r="L19" s="15"/>
      <c r="M19" s="15"/>
      <c r="N19" s="15"/>
      <c r="O19" s="15">
        <f t="shared" si="4"/>
        <v>0</v>
      </c>
      <c r="P19" s="15"/>
      <c r="Q19" s="15"/>
      <c r="R19" s="15"/>
      <c r="S19" s="15"/>
      <c r="T19" s="52">
        <f t="shared" si="5"/>
        <v>0</v>
      </c>
      <c r="U19" s="15"/>
      <c r="V19" s="6"/>
    </row>
    <row r="20" spans="1:22" s="59" customFormat="1" ht="13.5" customHeight="1" hidden="1">
      <c r="A20" s="58"/>
      <c r="B20" s="1"/>
      <c r="C20" s="1"/>
      <c r="D20" s="2"/>
      <c r="E20" s="2"/>
      <c r="F20" s="2"/>
      <c r="G20" s="14"/>
      <c r="H20" s="15"/>
      <c r="I20" s="420"/>
      <c r="J20" s="15"/>
      <c r="K20" s="15"/>
      <c r="L20" s="15"/>
      <c r="M20" s="15"/>
      <c r="N20" s="15"/>
      <c r="O20" s="15">
        <f t="shared" si="4"/>
        <v>0</v>
      </c>
      <c r="P20" s="15"/>
      <c r="Q20" s="15"/>
      <c r="R20" s="15"/>
      <c r="S20" s="15"/>
      <c r="T20" s="52">
        <f t="shared" si="5"/>
        <v>0</v>
      </c>
      <c r="U20" s="15"/>
      <c r="V20" s="6"/>
    </row>
    <row r="21" spans="1:22" s="59" customFormat="1" ht="13.5" customHeight="1" hidden="1">
      <c r="A21" s="58"/>
      <c r="B21" s="1"/>
      <c r="C21" s="1"/>
      <c r="D21" s="2"/>
      <c r="E21" s="2"/>
      <c r="F21" s="2"/>
      <c r="G21" s="14"/>
      <c r="H21" s="15"/>
      <c r="I21" s="420"/>
      <c r="J21" s="15"/>
      <c r="K21" s="15"/>
      <c r="L21" s="15"/>
      <c r="M21" s="15"/>
      <c r="N21" s="15"/>
      <c r="O21" s="15">
        <f t="shared" si="4"/>
        <v>0</v>
      </c>
      <c r="P21" s="15"/>
      <c r="Q21" s="15"/>
      <c r="R21" s="15"/>
      <c r="S21" s="15"/>
      <c r="T21" s="52">
        <f t="shared" si="5"/>
        <v>0</v>
      </c>
      <c r="U21" s="15"/>
      <c r="V21" s="6"/>
    </row>
    <row r="22" spans="1:22" s="59" customFormat="1" ht="13.5" customHeight="1" hidden="1">
      <c r="A22" s="58"/>
      <c r="B22" s="1"/>
      <c r="C22" s="1"/>
      <c r="D22" s="2"/>
      <c r="E22" s="2"/>
      <c r="F22" s="2"/>
      <c r="G22" s="14"/>
      <c r="H22" s="15"/>
      <c r="I22" s="420"/>
      <c r="J22" s="15"/>
      <c r="K22" s="15"/>
      <c r="L22" s="15"/>
      <c r="M22" s="15"/>
      <c r="N22" s="15"/>
      <c r="O22" s="15">
        <f t="shared" si="4"/>
        <v>0</v>
      </c>
      <c r="P22" s="15"/>
      <c r="Q22" s="15"/>
      <c r="R22" s="15"/>
      <c r="S22" s="15"/>
      <c r="T22" s="52">
        <f t="shared" si="5"/>
        <v>0</v>
      </c>
      <c r="U22" s="15"/>
      <c r="V22" s="6"/>
    </row>
    <row r="23" spans="1:22" s="59" customFormat="1" ht="13.5" customHeight="1" hidden="1">
      <c r="A23" s="58"/>
      <c r="B23" s="1"/>
      <c r="C23" s="1"/>
      <c r="D23" s="2"/>
      <c r="E23" s="2"/>
      <c r="F23" s="2"/>
      <c r="G23" s="14"/>
      <c r="H23" s="15"/>
      <c r="I23" s="420"/>
      <c r="J23" s="15"/>
      <c r="K23" s="15"/>
      <c r="L23" s="15"/>
      <c r="M23" s="15"/>
      <c r="N23" s="15"/>
      <c r="O23" s="15">
        <f t="shared" si="4"/>
        <v>0</v>
      </c>
      <c r="P23" s="15"/>
      <c r="Q23" s="15"/>
      <c r="R23" s="15"/>
      <c r="S23" s="15"/>
      <c r="T23" s="52">
        <f t="shared" si="5"/>
        <v>0</v>
      </c>
      <c r="U23" s="15"/>
      <c r="V23" s="6"/>
    </row>
    <row r="24" spans="1:22" s="60" customFormat="1" ht="13.5" customHeight="1" hidden="1">
      <c r="A24" s="58"/>
      <c r="B24" s="16"/>
      <c r="C24" s="16"/>
      <c r="D24" s="17"/>
      <c r="E24" s="17"/>
      <c r="F24" s="17"/>
      <c r="G24" s="18"/>
      <c r="H24" s="19"/>
      <c r="I24" s="421"/>
      <c r="J24" s="19"/>
      <c r="K24" s="19"/>
      <c r="L24" s="19"/>
      <c r="M24" s="19"/>
      <c r="N24" s="19"/>
      <c r="O24" s="19">
        <f t="shared" si="4"/>
        <v>0</v>
      </c>
      <c r="P24" s="19"/>
      <c r="Q24" s="19"/>
      <c r="R24" s="19"/>
      <c r="S24" s="19"/>
      <c r="T24" s="52">
        <f t="shared" si="5"/>
        <v>0</v>
      </c>
      <c r="U24" s="20"/>
      <c r="V24" s="22"/>
    </row>
    <row r="25" spans="1:22" s="59" customFormat="1" ht="13.5" customHeight="1" hidden="1">
      <c r="A25" s="58"/>
      <c r="B25" s="1"/>
      <c r="C25" s="1"/>
      <c r="D25" s="1">
        <f>'ING.MATRIZ'!D21</f>
        <v>113</v>
      </c>
      <c r="E25" s="1"/>
      <c r="F25" s="1"/>
      <c r="G25" s="13" t="str">
        <f>'ING.MATRIZ'!G21</f>
        <v>Impuestos Internos sobre Bienes y Servicios</v>
      </c>
      <c r="H25" s="4">
        <f aca="true" t="shared" si="10" ref="H25:M25">SUM(H26:H39)</f>
        <v>0</v>
      </c>
      <c r="I25" s="419">
        <f t="shared" si="10"/>
        <v>0</v>
      </c>
      <c r="J25" s="4">
        <f t="shared" si="10"/>
        <v>0</v>
      </c>
      <c r="K25" s="4">
        <f t="shared" si="10"/>
        <v>0</v>
      </c>
      <c r="L25" s="4">
        <f t="shared" si="10"/>
        <v>0</v>
      </c>
      <c r="M25" s="4">
        <f t="shared" si="10"/>
        <v>0</v>
      </c>
      <c r="N25" s="4">
        <f aca="true" t="shared" si="11" ref="N25:S25">SUM(N26:N39)</f>
        <v>0</v>
      </c>
      <c r="O25" s="4">
        <f t="shared" si="4"/>
        <v>0</v>
      </c>
      <c r="P25" s="4">
        <f t="shared" si="11"/>
        <v>0</v>
      </c>
      <c r="Q25" s="4">
        <f t="shared" si="11"/>
        <v>0</v>
      </c>
      <c r="R25" s="4">
        <f t="shared" si="11"/>
        <v>0</v>
      </c>
      <c r="S25" s="4">
        <f t="shared" si="11"/>
        <v>0</v>
      </c>
      <c r="T25" s="52">
        <f t="shared" si="5"/>
        <v>0</v>
      </c>
      <c r="U25" s="4" t="e">
        <f>#REF!+#REF!+#REF!</f>
        <v>#REF!</v>
      </c>
      <c r="V25" s="6" t="e">
        <f>U25*100/J25</f>
        <v>#REF!</v>
      </c>
    </row>
    <row r="26" spans="1:22" s="59" customFormat="1" ht="13.5" customHeight="1" hidden="1">
      <c r="A26" s="58"/>
      <c r="B26" s="1"/>
      <c r="C26" s="2"/>
      <c r="D26" s="2"/>
      <c r="E26" s="2"/>
      <c r="F26" s="2"/>
      <c r="G26" s="23"/>
      <c r="H26" s="15"/>
      <c r="I26" s="420"/>
      <c r="J26" s="15"/>
      <c r="K26" s="15"/>
      <c r="L26" s="15"/>
      <c r="M26" s="15"/>
      <c r="N26" s="15"/>
      <c r="O26" s="15">
        <f t="shared" si="4"/>
        <v>0</v>
      </c>
      <c r="P26" s="15"/>
      <c r="Q26" s="15"/>
      <c r="R26" s="15"/>
      <c r="S26" s="15"/>
      <c r="T26" s="52">
        <f t="shared" si="5"/>
        <v>0</v>
      </c>
      <c r="U26" s="15"/>
      <c r="V26" s="6"/>
    </row>
    <row r="27" spans="1:22" s="59" customFormat="1" ht="13.5" customHeight="1" hidden="1">
      <c r="A27" s="58"/>
      <c r="B27" s="1"/>
      <c r="C27" s="2"/>
      <c r="D27" s="2"/>
      <c r="E27" s="2"/>
      <c r="F27" s="2"/>
      <c r="G27" s="23"/>
      <c r="H27" s="15"/>
      <c r="I27" s="420"/>
      <c r="J27" s="15"/>
      <c r="K27" s="15"/>
      <c r="L27" s="15"/>
      <c r="M27" s="15"/>
      <c r="N27" s="15"/>
      <c r="O27" s="15">
        <f t="shared" si="4"/>
        <v>0</v>
      </c>
      <c r="P27" s="15"/>
      <c r="Q27" s="15"/>
      <c r="R27" s="15"/>
      <c r="S27" s="15"/>
      <c r="T27" s="52">
        <f t="shared" si="5"/>
        <v>0</v>
      </c>
      <c r="U27" s="15"/>
      <c r="V27" s="6"/>
    </row>
    <row r="28" spans="1:22" s="59" customFormat="1" ht="13.5" customHeight="1" hidden="1">
      <c r="A28" s="58"/>
      <c r="B28" s="24"/>
      <c r="C28" s="25"/>
      <c r="D28" s="25"/>
      <c r="E28" s="25"/>
      <c r="F28" s="25"/>
      <c r="G28" s="26"/>
      <c r="H28" s="15"/>
      <c r="I28" s="481"/>
      <c r="J28" s="27"/>
      <c r="K28" s="15"/>
      <c r="L28" s="15"/>
      <c r="M28" s="15"/>
      <c r="N28" s="15"/>
      <c r="O28" s="15">
        <f t="shared" si="4"/>
        <v>0</v>
      </c>
      <c r="P28" s="15"/>
      <c r="Q28" s="15"/>
      <c r="R28" s="15"/>
      <c r="S28" s="15"/>
      <c r="T28" s="52">
        <f t="shared" si="5"/>
        <v>0</v>
      </c>
      <c r="U28" s="15"/>
      <c r="V28" s="6"/>
    </row>
    <row r="29" spans="1:22" s="59" customFormat="1" ht="13.5" customHeight="1" hidden="1">
      <c r="A29" s="58"/>
      <c r="B29" s="24"/>
      <c r="C29" s="25"/>
      <c r="D29" s="25"/>
      <c r="E29" s="25"/>
      <c r="F29" s="25"/>
      <c r="G29" s="26"/>
      <c r="H29" s="15"/>
      <c r="I29" s="481"/>
      <c r="J29" s="27"/>
      <c r="K29" s="15"/>
      <c r="L29" s="15"/>
      <c r="M29" s="15"/>
      <c r="N29" s="15"/>
      <c r="O29" s="15">
        <f t="shared" si="4"/>
        <v>0</v>
      </c>
      <c r="P29" s="15"/>
      <c r="Q29" s="15"/>
      <c r="R29" s="15"/>
      <c r="S29" s="15"/>
      <c r="T29" s="52">
        <f t="shared" si="5"/>
        <v>0</v>
      </c>
      <c r="U29" s="15"/>
      <c r="V29" s="6"/>
    </row>
    <row r="30" spans="1:22" s="59" customFormat="1" ht="13.5" customHeight="1" hidden="1">
      <c r="A30" s="58"/>
      <c r="B30" s="1"/>
      <c r="C30" s="25"/>
      <c r="D30" s="25"/>
      <c r="E30" s="25"/>
      <c r="F30" s="25"/>
      <c r="G30" s="26"/>
      <c r="H30" s="15"/>
      <c r="I30" s="481"/>
      <c r="J30" s="27"/>
      <c r="K30" s="15"/>
      <c r="L30" s="15"/>
      <c r="M30" s="15"/>
      <c r="N30" s="15"/>
      <c r="O30" s="15">
        <f t="shared" si="4"/>
        <v>0</v>
      </c>
      <c r="P30" s="15"/>
      <c r="Q30" s="15"/>
      <c r="R30" s="15"/>
      <c r="S30" s="15"/>
      <c r="T30" s="52">
        <f t="shared" si="5"/>
        <v>0</v>
      </c>
      <c r="U30" s="15"/>
      <c r="V30" s="6"/>
    </row>
    <row r="31" spans="1:22" s="59" customFormat="1" ht="13.5" customHeight="1" hidden="1">
      <c r="A31" s="58"/>
      <c r="B31" s="1"/>
      <c r="C31" s="2"/>
      <c r="D31" s="2"/>
      <c r="E31" s="2"/>
      <c r="F31" s="2"/>
      <c r="G31" s="26"/>
      <c r="H31" s="15"/>
      <c r="I31" s="420"/>
      <c r="J31" s="15"/>
      <c r="K31" s="15"/>
      <c r="L31" s="15"/>
      <c r="M31" s="15"/>
      <c r="N31" s="15"/>
      <c r="O31" s="15">
        <f t="shared" si="4"/>
        <v>0</v>
      </c>
      <c r="P31" s="15"/>
      <c r="Q31" s="15"/>
      <c r="R31" s="15"/>
      <c r="S31" s="15"/>
      <c r="T31" s="52">
        <f t="shared" si="5"/>
        <v>0</v>
      </c>
      <c r="U31" s="15"/>
      <c r="V31" s="6"/>
    </row>
    <row r="32" spans="1:22" s="59" customFormat="1" ht="13.5" customHeight="1" hidden="1">
      <c r="A32" s="58"/>
      <c r="B32" s="1"/>
      <c r="C32" s="2"/>
      <c r="D32" s="2"/>
      <c r="E32" s="2"/>
      <c r="F32" s="2"/>
      <c r="G32" s="23"/>
      <c r="H32" s="15"/>
      <c r="I32" s="420"/>
      <c r="J32" s="15"/>
      <c r="K32" s="15"/>
      <c r="L32" s="15"/>
      <c r="M32" s="15"/>
      <c r="N32" s="15"/>
      <c r="O32" s="15">
        <f t="shared" si="4"/>
        <v>0</v>
      </c>
      <c r="P32" s="15"/>
      <c r="Q32" s="15"/>
      <c r="R32" s="15"/>
      <c r="S32" s="15"/>
      <c r="T32" s="52">
        <f t="shared" si="5"/>
        <v>0</v>
      </c>
      <c r="U32" s="15"/>
      <c r="V32" s="6"/>
    </row>
    <row r="33" spans="1:22" s="159" customFormat="1" ht="13.5" customHeight="1" hidden="1">
      <c r="A33" s="158"/>
      <c r="B33" s="24"/>
      <c r="C33" s="25"/>
      <c r="D33" s="25"/>
      <c r="E33" s="25"/>
      <c r="F33" s="25"/>
      <c r="G33" s="23"/>
      <c r="H33" s="15"/>
      <c r="I33" s="481"/>
      <c r="J33" s="27"/>
      <c r="K33" s="15"/>
      <c r="L33" s="15"/>
      <c r="M33" s="15"/>
      <c r="N33" s="15"/>
      <c r="O33" s="15">
        <f t="shared" si="4"/>
        <v>0</v>
      </c>
      <c r="P33" s="15"/>
      <c r="Q33" s="15"/>
      <c r="R33" s="15"/>
      <c r="S33" s="15"/>
      <c r="T33" s="52">
        <f t="shared" si="5"/>
        <v>0</v>
      </c>
      <c r="U33" s="15"/>
      <c r="V33" s="6"/>
    </row>
    <row r="34" spans="1:22" s="59" customFormat="1" ht="13.5" customHeight="1" hidden="1">
      <c r="A34" s="58"/>
      <c r="B34" s="1"/>
      <c r="C34" s="2"/>
      <c r="D34" s="2"/>
      <c r="E34" s="2"/>
      <c r="F34" s="2"/>
      <c r="G34" s="26"/>
      <c r="H34" s="15"/>
      <c r="I34" s="420"/>
      <c r="J34" s="15"/>
      <c r="K34" s="15"/>
      <c r="L34" s="15"/>
      <c r="M34" s="15"/>
      <c r="N34" s="15"/>
      <c r="O34" s="15">
        <f t="shared" si="4"/>
        <v>0</v>
      </c>
      <c r="P34" s="15"/>
      <c r="Q34" s="15"/>
      <c r="R34" s="15"/>
      <c r="S34" s="15"/>
      <c r="T34" s="52">
        <f t="shared" si="5"/>
        <v>0</v>
      </c>
      <c r="U34" s="15"/>
      <c r="V34" s="6"/>
    </row>
    <row r="35" spans="1:22" s="59" customFormat="1" ht="13.5" customHeight="1" hidden="1">
      <c r="A35" s="58"/>
      <c r="B35" s="1"/>
      <c r="C35" s="2"/>
      <c r="D35" s="2"/>
      <c r="E35" s="2"/>
      <c r="F35" s="2"/>
      <c r="G35" s="23"/>
      <c r="H35" s="15"/>
      <c r="I35" s="420"/>
      <c r="J35" s="15"/>
      <c r="K35" s="15"/>
      <c r="L35" s="15"/>
      <c r="M35" s="15"/>
      <c r="N35" s="15"/>
      <c r="O35" s="15">
        <f t="shared" si="4"/>
        <v>0</v>
      </c>
      <c r="P35" s="15"/>
      <c r="Q35" s="15"/>
      <c r="R35" s="15"/>
      <c r="S35" s="15"/>
      <c r="T35" s="52">
        <f t="shared" si="5"/>
        <v>0</v>
      </c>
      <c r="U35" s="15"/>
      <c r="V35" s="6"/>
    </row>
    <row r="36" spans="1:22" s="59" customFormat="1" ht="13.5" customHeight="1" hidden="1">
      <c r="A36" s="58"/>
      <c r="B36" s="1"/>
      <c r="C36" s="2"/>
      <c r="D36" s="2"/>
      <c r="E36" s="2"/>
      <c r="F36" s="2"/>
      <c r="G36" s="26"/>
      <c r="H36" s="15"/>
      <c r="I36" s="420"/>
      <c r="J36" s="15"/>
      <c r="K36" s="15"/>
      <c r="L36" s="15"/>
      <c r="M36" s="15"/>
      <c r="N36" s="15"/>
      <c r="O36" s="15">
        <f t="shared" si="4"/>
        <v>0</v>
      </c>
      <c r="P36" s="15"/>
      <c r="Q36" s="15"/>
      <c r="R36" s="15"/>
      <c r="S36" s="15"/>
      <c r="T36" s="52">
        <f t="shared" si="5"/>
        <v>0</v>
      </c>
      <c r="U36" s="15"/>
      <c r="V36" s="6"/>
    </row>
    <row r="37" spans="1:22" s="59" customFormat="1" ht="13.5" customHeight="1" hidden="1">
      <c r="A37" s="58"/>
      <c r="B37" s="1"/>
      <c r="C37" s="2"/>
      <c r="D37" s="2"/>
      <c r="E37" s="2"/>
      <c r="F37" s="2"/>
      <c r="G37" s="23"/>
      <c r="H37" s="15"/>
      <c r="I37" s="420"/>
      <c r="J37" s="15"/>
      <c r="K37" s="15"/>
      <c r="L37" s="15"/>
      <c r="M37" s="15"/>
      <c r="N37" s="15"/>
      <c r="O37" s="15">
        <f t="shared" si="4"/>
        <v>0</v>
      </c>
      <c r="P37" s="15"/>
      <c r="Q37" s="15"/>
      <c r="R37" s="15"/>
      <c r="S37" s="15"/>
      <c r="T37" s="52">
        <f t="shared" si="5"/>
        <v>0</v>
      </c>
      <c r="U37" s="15"/>
      <c r="V37" s="6"/>
    </row>
    <row r="38" spans="1:22" s="59" customFormat="1" ht="13.5" customHeight="1" hidden="1">
      <c r="A38" s="58"/>
      <c r="B38" s="1"/>
      <c r="C38" s="2"/>
      <c r="D38" s="2"/>
      <c r="E38" s="2"/>
      <c r="F38" s="2"/>
      <c r="G38" s="23"/>
      <c r="H38" s="15"/>
      <c r="I38" s="420"/>
      <c r="J38" s="15"/>
      <c r="K38" s="15"/>
      <c r="L38" s="15"/>
      <c r="M38" s="15"/>
      <c r="N38" s="15"/>
      <c r="O38" s="15">
        <f t="shared" si="4"/>
        <v>0</v>
      </c>
      <c r="P38" s="15"/>
      <c r="Q38" s="15"/>
      <c r="R38" s="15"/>
      <c r="S38" s="15"/>
      <c r="T38" s="52">
        <f t="shared" si="5"/>
        <v>0</v>
      </c>
      <c r="U38" s="15"/>
      <c r="V38" s="6"/>
    </row>
    <row r="39" spans="1:22" s="59" customFormat="1" ht="13.5" customHeight="1" hidden="1">
      <c r="A39" s="58"/>
      <c r="B39" s="1"/>
      <c r="C39" s="2"/>
      <c r="D39" s="2"/>
      <c r="E39" s="2"/>
      <c r="F39" s="2"/>
      <c r="G39" s="23"/>
      <c r="H39" s="15"/>
      <c r="I39" s="420"/>
      <c r="J39" s="15"/>
      <c r="K39" s="15"/>
      <c r="L39" s="15"/>
      <c r="M39" s="15"/>
      <c r="N39" s="15"/>
      <c r="O39" s="15">
        <f t="shared" si="4"/>
        <v>0</v>
      </c>
      <c r="P39" s="15"/>
      <c r="Q39" s="15"/>
      <c r="R39" s="15"/>
      <c r="S39" s="15"/>
      <c r="T39" s="52">
        <f t="shared" si="5"/>
        <v>0</v>
      </c>
      <c r="U39" s="15"/>
      <c r="V39" s="6"/>
    </row>
    <row r="40" spans="1:22" s="59" customFormat="1" ht="13.5" customHeight="1" hidden="1">
      <c r="A40" s="58"/>
      <c r="B40" s="1"/>
      <c r="C40" s="1"/>
      <c r="D40" s="1">
        <f>'ING.MATRIZ'!D33</f>
        <v>119</v>
      </c>
      <c r="E40" s="1"/>
      <c r="F40" s="1"/>
      <c r="G40" s="13" t="str">
        <f>'ING.MATRIZ'!G33</f>
        <v>Otros Ingresos Tributarios</v>
      </c>
      <c r="H40" s="4">
        <f aca="true" t="shared" si="12" ref="H40:M40">SUM(H41:H43)</f>
        <v>0</v>
      </c>
      <c r="I40" s="419">
        <f t="shared" si="12"/>
        <v>0</v>
      </c>
      <c r="J40" s="4">
        <f t="shared" si="12"/>
        <v>0</v>
      </c>
      <c r="K40" s="4">
        <f t="shared" si="12"/>
        <v>0</v>
      </c>
      <c r="L40" s="4">
        <f t="shared" si="12"/>
        <v>0</v>
      </c>
      <c r="M40" s="4">
        <f t="shared" si="12"/>
        <v>0</v>
      </c>
      <c r="N40" s="4">
        <f aca="true" t="shared" si="13" ref="N40:S40">SUM(N41:N43)</f>
        <v>0</v>
      </c>
      <c r="O40" s="4">
        <f t="shared" si="4"/>
        <v>0</v>
      </c>
      <c r="P40" s="4">
        <f t="shared" si="13"/>
        <v>0</v>
      </c>
      <c r="Q40" s="4">
        <f t="shared" si="13"/>
        <v>0</v>
      </c>
      <c r="R40" s="4">
        <f t="shared" si="13"/>
        <v>0</v>
      </c>
      <c r="S40" s="4">
        <f t="shared" si="13"/>
        <v>0</v>
      </c>
      <c r="T40" s="52">
        <f t="shared" si="5"/>
        <v>0</v>
      </c>
      <c r="U40" s="4" t="e">
        <f>#REF!+#REF!+#REF!</f>
        <v>#REF!</v>
      </c>
      <c r="V40" s="6" t="e">
        <f>U40*100/J40</f>
        <v>#REF!</v>
      </c>
    </row>
    <row r="41" spans="1:22" s="59" customFormat="1" ht="13.5" customHeight="1" hidden="1">
      <c r="A41" s="58"/>
      <c r="B41" s="2"/>
      <c r="C41" s="2"/>
      <c r="D41" s="2"/>
      <c r="E41" s="2"/>
      <c r="F41" s="2"/>
      <c r="G41" s="23"/>
      <c r="H41" s="15"/>
      <c r="I41" s="420"/>
      <c r="J41" s="15"/>
      <c r="K41" s="15"/>
      <c r="L41" s="15"/>
      <c r="M41" s="15"/>
      <c r="N41" s="15"/>
      <c r="O41" s="15">
        <f t="shared" si="4"/>
        <v>0</v>
      </c>
      <c r="P41" s="15"/>
      <c r="Q41" s="15"/>
      <c r="R41" s="15"/>
      <c r="S41" s="15"/>
      <c r="T41" s="52">
        <f t="shared" si="5"/>
        <v>0</v>
      </c>
      <c r="U41" s="15"/>
      <c r="V41" s="6"/>
    </row>
    <row r="42" spans="1:22" s="59" customFormat="1" ht="13.5" customHeight="1" hidden="1">
      <c r="A42" s="58"/>
      <c r="B42" s="2"/>
      <c r="C42" s="2"/>
      <c r="D42" s="2"/>
      <c r="E42" s="2"/>
      <c r="F42" s="2"/>
      <c r="G42" s="23"/>
      <c r="H42" s="15"/>
      <c r="I42" s="420"/>
      <c r="J42" s="15"/>
      <c r="K42" s="15"/>
      <c r="L42" s="15"/>
      <c r="M42" s="15"/>
      <c r="N42" s="15"/>
      <c r="O42" s="15">
        <f t="shared" si="4"/>
        <v>0</v>
      </c>
      <c r="P42" s="15"/>
      <c r="Q42" s="15"/>
      <c r="R42" s="15"/>
      <c r="S42" s="15"/>
      <c r="T42" s="52">
        <f t="shared" si="5"/>
        <v>0</v>
      </c>
      <c r="U42" s="15"/>
      <c r="V42" s="6"/>
    </row>
    <row r="43" spans="1:22" s="59" customFormat="1" ht="13.5" customHeight="1" hidden="1">
      <c r="A43" s="58"/>
      <c r="B43" s="2"/>
      <c r="C43" s="2"/>
      <c r="D43" s="2"/>
      <c r="E43" s="2"/>
      <c r="F43" s="2"/>
      <c r="G43" s="23"/>
      <c r="H43" s="15"/>
      <c r="I43" s="420"/>
      <c r="J43" s="15"/>
      <c r="K43" s="15"/>
      <c r="L43" s="15"/>
      <c r="M43" s="15"/>
      <c r="N43" s="15"/>
      <c r="O43" s="15">
        <f t="shared" si="4"/>
        <v>0</v>
      </c>
      <c r="P43" s="15"/>
      <c r="Q43" s="15"/>
      <c r="R43" s="15"/>
      <c r="S43" s="15"/>
      <c r="T43" s="52">
        <f t="shared" si="5"/>
        <v>0</v>
      </c>
      <c r="U43" s="15"/>
      <c r="V43" s="6"/>
    </row>
    <row r="44" spans="1:22" s="59" customFormat="1" ht="13.5" customHeight="1" hidden="1">
      <c r="A44" s="58"/>
      <c r="B44" s="2"/>
      <c r="C44" s="2"/>
      <c r="D44" s="2"/>
      <c r="E44" s="2"/>
      <c r="F44" s="2"/>
      <c r="G44" s="23"/>
      <c r="H44" s="15"/>
      <c r="I44" s="420"/>
      <c r="J44" s="15"/>
      <c r="K44" s="15"/>
      <c r="L44" s="15"/>
      <c r="M44" s="15"/>
      <c r="N44" s="15"/>
      <c r="O44" s="15">
        <f t="shared" si="4"/>
        <v>0</v>
      </c>
      <c r="P44" s="15"/>
      <c r="Q44" s="15"/>
      <c r="R44" s="15"/>
      <c r="S44" s="15"/>
      <c r="T44" s="52">
        <f t="shared" si="5"/>
        <v>0</v>
      </c>
      <c r="U44" s="15"/>
      <c r="V44" s="6"/>
    </row>
    <row r="45" spans="1:22" s="59" customFormat="1" ht="13.5" customHeight="1" hidden="1">
      <c r="A45" s="58"/>
      <c r="B45" s="1"/>
      <c r="C45" s="1">
        <f>'ING.MATRIZ'!C40</f>
        <v>130</v>
      </c>
      <c r="D45" s="1"/>
      <c r="E45" s="1"/>
      <c r="F45" s="1"/>
      <c r="G45" s="13" t="str">
        <f>'ING.MATRIZ'!G40</f>
        <v>INGRESOS NO TRIBUTARIOS</v>
      </c>
      <c r="H45" s="4">
        <f aca="true" t="shared" si="14" ref="H45:M45">H46+H61</f>
        <v>0</v>
      </c>
      <c r="I45" s="419">
        <f t="shared" si="14"/>
        <v>0</v>
      </c>
      <c r="J45" s="4">
        <f t="shared" si="14"/>
        <v>0</v>
      </c>
      <c r="K45" s="4">
        <f t="shared" si="14"/>
        <v>0</v>
      </c>
      <c r="L45" s="4">
        <f t="shared" si="14"/>
        <v>0</v>
      </c>
      <c r="M45" s="4">
        <f t="shared" si="14"/>
        <v>0</v>
      </c>
      <c r="N45" s="4">
        <f aca="true" t="shared" si="15" ref="N45:S45">N46+N61</f>
        <v>0</v>
      </c>
      <c r="O45" s="4">
        <f t="shared" si="4"/>
        <v>0</v>
      </c>
      <c r="P45" s="4">
        <f t="shared" si="15"/>
        <v>0</v>
      </c>
      <c r="Q45" s="4">
        <f t="shared" si="15"/>
        <v>0</v>
      </c>
      <c r="R45" s="4">
        <f t="shared" si="15"/>
        <v>0</v>
      </c>
      <c r="S45" s="4">
        <f t="shared" si="15"/>
        <v>0</v>
      </c>
      <c r="T45" s="52">
        <f t="shared" si="5"/>
        <v>0</v>
      </c>
      <c r="U45" s="4" t="e">
        <f>#REF!+#REF!+#REF!</f>
        <v>#REF!</v>
      </c>
      <c r="V45" s="6" t="e">
        <f>U45*100/J45</f>
        <v>#REF!</v>
      </c>
    </row>
    <row r="46" spans="1:22" s="59" customFormat="1" ht="13.5" customHeight="1" hidden="1">
      <c r="A46" s="58"/>
      <c r="B46" s="1"/>
      <c r="C46" s="1"/>
      <c r="D46" s="1">
        <f>'ING.MATRIZ'!D41</f>
        <v>132</v>
      </c>
      <c r="E46" s="1"/>
      <c r="F46" s="1"/>
      <c r="G46" s="13" t="str">
        <f>'ING.MATRIZ'!G41</f>
        <v>Tasas y Derechos</v>
      </c>
      <c r="H46" s="4">
        <f aca="true" t="shared" si="16" ref="H46:M46">SUM(H47:H60)</f>
        <v>0</v>
      </c>
      <c r="I46" s="419">
        <f t="shared" si="16"/>
        <v>0</v>
      </c>
      <c r="J46" s="4">
        <f t="shared" si="16"/>
        <v>0</v>
      </c>
      <c r="K46" s="4">
        <f t="shared" si="16"/>
        <v>0</v>
      </c>
      <c r="L46" s="4">
        <f t="shared" si="16"/>
        <v>0</v>
      </c>
      <c r="M46" s="4">
        <f t="shared" si="16"/>
        <v>0</v>
      </c>
      <c r="N46" s="4">
        <f aca="true" t="shared" si="17" ref="N46:S46">SUM(N47:N60)</f>
        <v>0</v>
      </c>
      <c r="O46" s="4">
        <f t="shared" si="4"/>
        <v>0</v>
      </c>
      <c r="P46" s="4">
        <f t="shared" si="17"/>
        <v>0</v>
      </c>
      <c r="Q46" s="4">
        <f t="shared" si="17"/>
        <v>0</v>
      </c>
      <c r="R46" s="4">
        <f t="shared" si="17"/>
        <v>0</v>
      </c>
      <c r="S46" s="4">
        <f t="shared" si="17"/>
        <v>0</v>
      </c>
      <c r="T46" s="52">
        <f t="shared" si="5"/>
        <v>0</v>
      </c>
      <c r="U46" s="4" t="e">
        <f>#REF!+#REF!+#REF!</f>
        <v>#REF!</v>
      </c>
      <c r="V46" s="6" t="e">
        <f>U46*100/J46</f>
        <v>#REF!</v>
      </c>
    </row>
    <row r="47" spans="1:22" s="59" customFormat="1" ht="13.5" customHeight="1" hidden="1">
      <c r="A47" s="58"/>
      <c r="B47" s="2"/>
      <c r="C47" s="2"/>
      <c r="D47" s="2"/>
      <c r="E47" s="2"/>
      <c r="F47" s="2"/>
      <c r="G47" s="23"/>
      <c r="H47" s="15"/>
      <c r="I47" s="420"/>
      <c r="J47" s="15"/>
      <c r="K47" s="15"/>
      <c r="L47" s="15"/>
      <c r="M47" s="15"/>
      <c r="N47" s="15"/>
      <c r="O47" s="15">
        <f t="shared" si="4"/>
        <v>0</v>
      </c>
      <c r="P47" s="15"/>
      <c r="Q47" s="15"/>
      <c r="R47" s="15"/>
      <c r="S47" s="15"/>
      <c r="T47" s="52">
        <f t="shared" si="5"/>
        <v>0</v>
      </c>
      <c r="U47" s="15"/>
      <c r="V47" s="6"/>
    </row>
    <row r="48" spans="1:22" s="59" customFormat="1" ht="13.5" customHeight="1" hidden="1">
      <c r="A48" s="58"/>
      <c r="B48" s="2"/>
      <c r="C48" s="2"/>
      <c r="D48" s="2"/>
      <c r="E48" s="2"/>
      <c r="F48" s="2"/>
      <c r="G48" s="23"/>
      <c r="H48" s="15"/>
      <c r="I48" s="420"/>
      <c r="J48" s="15"/>
      <c r="K48" s="15"/>
      <c r="L48" s="15"/>
      <c r="M48" s="15"/>
      <c r="N48" s="15"/>
      <c r="O48" s="15">
        <f t="shared" si="4"/>
        <v>0</v>
      </c>
      <c r="P48" s="15"/>
      <c r="Q48" s="15"/>
      <c r="R48" s="15"/>
      <c r="S48" s="15"/>
      <c r="T48" s="52">
        <f t="shared" si="5"/>
        <v>0</v>
      </c>
      <c r="U48" s="15"/>
      <c r="V48" s="6"/>
    </row>
    <row r="49" spans="1:22" s="59" customFormat="1" ht="13.5" customHeight="1" hidden="1">
      <c r="A49" s="58"/>
      <c r="B49" s="2"/>
      <c r="C49" s="2"/>
      <c r="D49" s="2"/>
      <c r="E49" s="2"/>
      <c r="F49" s="2"/>
      <c r="G49" s="23"/>
      <c r="H49" s="15"/>
      <c r="I49" s="420"/>
      <c r="J49" s="15"/>
      <c r="K49" s="15"/>
      <c r="L49" s="15"/>
      <c r="M49" s="15"/>
      <c r="N49" s="15"/>
      <c r="O49" s="15">
        <f t="shared" si="4"/>
        <v>0</v>
      </c>
      <c r="P49" s="15"/>
      <c r="Q49" s="15"/>
      <c r="R49" s="15"/>
      <c r="S49" s="15"/>
      <c r="T49" s="52">
        <f t="shared" si="5"/>
        <v>0</v>
      </c>
      <c r="U49" s="15"/>
      <c r="V49" s="6"/>
    </row>
    <row r="50" spans="1:22" s="59" customFormat="1" ht="13.5" customHeight="1" hidden="1">
      <c r="A50" s="58"/>
      <c r="B50" s="2"/>
      <c r="C50" s="2"/>
      <c r="D50" s="2"/>
      <c r="E50" s="2"/>
      <c r="F50" s="2"/>
      <c r="G50" s="23"/>
      <c r="H50" s="15"/>
      <c r="I50" s="420"/>
      <c r="J50" s="15"/>
      <c r="K50" s="15"/>
      <c r="L50" s="15"/>
      <c r="M50" s="15"/>
      <c r="N50" s="15"/>
      <c r="O50" s="15">
        <f t="shared" si="4"/>
        <v>0</v>
      </c>
      <c r="P50" s="15"/>
      <c r="Q50" s="15"/>
      <c r="R50" s="15"/>
      <c r="S50" s="15"/>
      <c r="T50" s="52">
        <f t="shared" si="5"/>
        <v>0</v>
      </c>
      <c r="U50" s="15"/>
      <c r="V50" s="6"/>
    </row>
    <row r="51" spans="1:22" s="59" customFormat="1" ht="13.5" customHeight="1" hidden="1">
      <c r="A51" s="58"/>
      <c r="B51" s="2"/>
      <c r="C51" s="2"/>
      <c r="D51" s="2"/>
      <c r="E51" s="2"/>
      <c r="F51" s="2"/>
      <c r="G51" s="23"/>
      <c r="H51" s="15"/>
      <c r="I51" s="420"/>
      <c r="J51" s="15"/>
      <c r="K51" s="15"/>
      <c r="L51" s="15"/>
      <c r="M51" s="15"/>
      <c r="N51" s="15"/>
      <c r="O51" s="15">
        <f t="shared" si="4"/>
        <v>0</v>
      </c>
      <c r="P51" s="15"/>
      <c r="Q51" s="15"/>
      <c r="R51" s="15"/>
      <c r="S51" s="15"/>
      <c r="T51" s="52">
        <f t="shared" si="5"/>
        <v>0</v>
      </c>
      <c r="U51" s="15"/>
      <c r="V51" s="6"/>
    </row>
    <row r="52" spans="1:22" s="59" customFormat="1" ht="13.5" customHeight="1" hidden="1">
      <c r="A52" s="58"/>
      <c r="B52" s="2"/>
      <c r="C52" s="2"/>
      <c r="D52" s="2"/>
      <c r="E52" s="2"/>
      <c r="F52" s="2"/>
      <c r="G52" s="23"/>
      <c r="H52" s="15"/>
      <c r="I52" s="420"/>
      <c r="J52" s="15"/>
      <c r="K52" s="15"/>
      <c r="L52" s="15"/>
      <c r="M52" s="15"/>
      <c r="N52" s="15"/>
      <c r="O52" s="15">
        <f t="shared" si="4"/>
        <v>0</v>
      </c>
      <c r="P52" s="15"/>
      <c r="Q52" s="15"/>
      <c r="R52" s="15"/>
      <c r="S52" s="15"/>
      <c r="T52" s="52">
        <f t="shared" si="5"/>
        <v>0</v>
      </c>
      <c r="U52" s="15"/>
      <c r="V52" s="6"/>
    </row>
    <row r="53" spans="1:22" s="59" customFormat="1" ht="13.5" customHeight="1" hidden="1">
      <c r="A53" s="58"/>
      <c r="B53" s="2"/>
      <c r="C53" s="2"/>
      <c r="D53" s="2"/>
      <c r="E53" s="2"/>
      <c r="F53" s="2"/>
      <c r="G53" s="23"/>
      <c r="H53" s="15"/>
      <c r="I53" s="420"/>
      <c r="J53" s="15"/>
      <c r="K53" s="15"/>
      <c r="L53" s="15"/>
      <c r="M53" s="15"/>
      <c r="N53" s="15"/>
      <c r="O53" s="15">
        <f t="shared" si="4"/>
        <v>0</v>
      </c>
      <c r="P53" s="15"/>
      <c r="Q53" s="15"/>
      <c r="R53" s="15"/>
      <c r="S53" s="15"/>
      <c r="T53" s="52">
        <f t="shared" si="5"/>
        <v>0</v>
      </c>
      <c r="U53" s="15"/>
      <c r="V53" s="6"/>
    </row>
    <row r="54" spans="1:22" s="159" customFormat="1" ht="13.5" customHeight="1" hidden="1">
      <c r="A54" s="158"/>
      <c r="B54" s="25"/>
      <c r="C54" s="25"/>
      <c r="D54" s="25"/>
      <c r="E54" s="25"/>
      <c r="F54" s="25"/>
      <c r="G54" s="23"/>
      <c r="H54" s="15"/>
      <c r="I54" s="481"/>
      <c r="J54" s="27"/>
      <c r="K54" s="15"/>
      <c r="L54" s="15"/>
      <c r="M54" s="15"/>
      <c r="N54" s="15"/>
      <c r="O54" s="15">
        <f t="shared" si="4"/>
        <v>0</v>
      </c>
      <c r="P54" s="15"/>
      <c r="Q54" s="15"/>
      <c r="R54" s="15"/>
      <c r="S54" s="15"/>
      <c r="T54" s="52">
        <f t="shared" si="5"/>
        <v>0</v>
      </c>
      <c r="U54" s="15"/>
      <c r="V54" s="6"/>
    </row>
    <row r="55" spans="1:22" s="159" customFormat="1" ht="13.5" customHeight="1" hidden="1">
      <c r="A55" s="158"/>
      <c r="B55" s="25"/>
      <c r="C55" s="25"/>
      <c r="D55" s="25"/>
      <c r="E55" s="25"/>
      <c r="F55" s="25"/>
      <c r="G55" s="26"/>
      <c r="H55" s="15"/>
      <c r="I55" s="481"/>
      <c r="J55" s="27"/>
      <c r="K55" s="15"/>
      <c r="L55" s="15"/>
      <c r="M55" s="15"/>
      <c r="N55" s="15"/>
      <c r="O55" s="15">
        <f t="shared" si="4"/>
        <v>0</v>
      </c>
      <c r="P55" s="15"/>
      <c r="Q55" s="15"/>
      <c r="R55" s="15"/>
      <c r="S55" s="15"/>
      <c r="T55" s="52">
        <f t="shared" si="5"/>
        <v>0</v>
      </c>
      <c r="U55" s="15"/>
      <c r="V55" s="6"/>
    </row>
    <row r="56" spans="1:22" s="59" customFormat="1" ht="13.5" customHeight="1" hidden="1">
      <c r="A56" s="58"/>
      <c r="B56" s="2"/>
      <c r="C56" s="2"/>
      <c r="D56" s="2"/>
      <c r="E56" s="25"/>
      <c r="F56" s="25"/>
      <c r="G56" s="23"/>
      <c r="H56" s="15"/>
      <c r="I56" s="420"/>
      <c r="J56" s="15"/>
      <c r="K56" s="15"/>
      <c r="L56" s="15"/>
      <c r="M56" s="15"/>
      <c r="N56" s="15"/>
      <c r="O56" s="15">
        <f t="shared" si="4"/>
        <v>0</v>
      </c>
      <c r="P56" s="15"/>
      <c r="Q56" s="15"/>
      <c r="R56" s="15"/>
      <c r="S56" s="15"/>
      <c r="T56" s="52">
        <f t="shared" si="5"/>
        <v>0</v>
      </c>
      <c r="U56" s="15"/>
      <c r="V56" s="6"/>
    </row>
    <row r="57" spans="1:22" s="159" customFormat="1" ht="13.5" customHeight="1" hidden="1">
      <c r="A57" s="158"/>
      <c r="B57" s="25"/>
      <c r="C57" s="25"/>
      <c r="D57" s="2"/>
      <c r="E57" s="2"/>
      <c r="F57" s="2"/>
      <c r="G57" s="26"/>
      <c r="H57" s="15"/>
      <c r="I57" s="481"/>
      <c r="J57" s="27"/>
      <c r="K57" s="15"/>
      <c r="L57" s="15"/>
      <c r="M57" s="15"/>
      <c r="N57" s="15"/>
      <c r="O57" s="15">
        <f t="shared" si="4"/>
        <v>0</v>
      </c>
      <c r="P57" s="15"/>
      <c r="Q57" s="15"/>
      <c r="R57" s="15"/>
      <c r="S57" s="15"/>
      <c r="T57" s="52">
        <f t="shared" si="5"/>
        <v>0</v>
      </c>
      <c r="U57" s="15"/>
      <c r="V57" s="6"/>
    </row>
    <row r="58" spans="1:22" s="159" customFormat="1" ht="13.5" customHeight="1" hidden="1">
      <c r="A58" s="158"/>
      <c r="B58" s="25"/>
      <c r="C58" s="25"/>
      <c r="D58" s="2"/>
      <c r="E58" s="25"/>
      <c r="F58" s="25"/>
      <c r="G58" s="26"/>
      <c r="H58" s="15"/>
      <c r="I58" s="481"/>
      <c r="J58" s="27"/>
      <c r="K58" s="15"/>
      <c r="L58" s="15"/>
      <c r="M58" s="15"/>
      <c r="N58" s="15"/>
      <c r="O58" s="15">
        <f t="shared" si="4"/>
        <v>0</v>
      </c>
      <c r="P58" s="15"/>
      <c r="Q58" s="15"/>
      <c r="R58" s="15"/>
      <c r="S58" s="15"/>
      <c r="T58" s="52">
        <f t="shared" si="5"/>
        <v>0</v>
      </c>
      <c r="U58" s="15"/>
      <c r="V58" s="6"/>
    </row>
    <row r="59" spans="1:22" s="59" customFormat="1" ht="13.5" customHeight="1" hidden="1">
      <c r="A59" s="58"/>
      <c r="B59" s="2"/>
      <c r="C59" s="2"/>
      <c r="D59" s="2"/>
      <c r="E59" s="2"/>
      <c r="F59" s="2"/>
      <c r="G59" s="26"/>
      <c r="H59" s="15"/>
      <c r="I59" s="420"/>
      <c r="J59" s="15"/>
      <c r="K59" s="15"/>
      <c r="L59" s="15"/>
      <c r="M59" s="15"/>
      <c r="N59" s="15"/>
      <c r="O59" s="15">
        <f t="shared" si="4"/>
        <v>0</v>
      </c>
      <c r="P59" s="15"/>
      <c r="Q59" s="15"/>
      <c r="R59" s="15"/>
      <c r="S59" s="15"/>
      <c r="T59" s="52">
        <f t="shared" si="5"/>
        <v>0</v>
      </c>
      <c r="U59" s="15"/>
      <c r="V59" s="6"/>
    </row>
    <row r="60" spans="1:22" s="59" customFormat="1" ht="13.5" customHeight="1" hidden="1">
      <c r="A60" s="58"/>
      <c r="B60" s="2"/>
      <c r="C60" s="2"/>
      <c r="D60" s="2"/>
      <c r="E60" s="2"/>
      <c r="F60" s="2"/>
      <c r="G60" s="26"/>
      <c r="H60" s="15"/>
      <c r="I60" s="420"/>
      <c r="J60" s="15"/>
      <c r="K60" s="15"/>
      <c r="L60" s="15"/>
      <c r="M60" s="15"/>
      <c r="N60" s="15"/>
      <c r="O60" s="15">
        <f t="shared" si="4"/>
        <v>0</v>
      </c>
      <c r="P60" s="15"/>
      <c r="Q60" s="15"/>
      <c r="R60" s="15"/>
      <c r="S60" s="15"/>
      <c r="T60" s="52">
        <f t="shared" si="5"/>
        <v>0</v>
      </c>
      <c r="U60" s="15"/>
      <c r="V60" s="6"/>
    </row>
    <row r="61" spans="1:22" s="59" customFormat="1" ht="13.5" customHeight="1" hidden="1">
      <c r="A61" s="58"/>
      <c r="B61" s="1"/>
      <c r="C61" s="1"/>
      <c r="D61" s="1">
        <f>'ING.MATRIZ'!D53</f>
        <v>133</v>
      </c>
      <c r="E61" s="1"/>
      <c r="F61" s="1"/>
      <c r="G61" s="13" t="str">
        <f>'ING.MATRIZ'!G53</f>
        <v>Multas y Otros Derechos no Tributarios</v>
      </c>
      <c r="H61" s="4">
        <f aca="true" t="shared" si="18" ref="H61:M61">SUM(H62:H64)</f>
        <v>0</v>
      </c>
      <c r="I61" s="419">
        <f t="shared" si="18"/>
        <v>0</v>
      </c>
      <c r="J61" s="4">
        <f t="shared" si="18"/>
        <v>0</v>
      </c>
      <c r="K61" s="4">
        <f t="shared" si="18"/>
        <v>0</v>
      </c>
      <c r="L61" s="4">
        <f t="shared" si="18"/>
        <v>0</v>
      </c>
      <c r="M61" s="4">
        <f t="shared" si="18"/>
        <v>0</v>
      </c>
      <c r="N61" s="4">
        <f aca="true" t="shared" si="19" ref="N61:S61">SUM(N62:N64)</f>
        <v>0</v>
      </c>
      <c r="O61" s="4">
        <f t="shared" si="4"/>
        <v>0</v>
      </c>
      <c r="P61" s="4">
        <f t="shared" si="19"/>
        <v>0</v>
      </c>
      <c r="Q61" s="4">
        <f t="shared" si="19"/>
        <v>0</v>
      </c>
      <c r="R61" s="4">
        <f t="shared" si="19"/>
        <v>0</v>
      </c>
      <c r="S61" s="4">
        <f t="shared" si="19"/>
        <v>0</v>
      </c>
      <c r="T61" s="52">
        <f t="shared" si="5"/>
        <v>0</v>
      </c>
      <c r="U61" s="4" t="e">
        <f>#REF!+#REF!+#REF!</f>
        <v>#REF!</v>
      </c>
      <c r="V61" s="6" t="e">
        <f>U61*100/J61</f>
        <v>#REF!</v>
      </c>
    </row>
    <row r="62" spans="1:22" s="59" customFormat="1" ht="13.5" customHeight="1" hidden="1">
      <c r="A62" s="58"/>
      <c r="B62" s="1"/>
      <c r="C62" s="1"/>
      <c r="D62" s="2"/>
      <c r="E62" s="2"/>
      <c r="F62" s="2"/>
      <c r="G62" s="23"/>
      <c r="H62" s="15"/>
      <c r="I62" s="420"/>
      <c r="J62" s="15"/>
      <c r="K62" s="15"/>
      <c r="L62" s="15"/>
      <c r="M62" s="15"/>
      <c r="N62" s="15"/>
      <c r="O62" s="15">
        <f t="shared" si="4"/>
        <v>0</v>
      </c>
      <c r="P62" s="15"/>
      <c r="Q62" s="15"/>
      <c r="R62" s="15"/>
      <c r="S62" s="15"/>
      <c r="T62" s="52">
        <f t="shared" si="5"/>
        <v>0</v>
      </c>
      <c r="U62" s="15"/>
      <c r="V62" s="6"/>
    </row>
    <row r="63" spans="1:22" s="59" customFormat="1" ht="13.5" customHeight="1" hidden="1">
      <c r="A63" s="58"/>
      <c r="B63" s="1"/>
      <c r="C63" s="1"/>
      <c r="D63" s="2"/>
      <c r="E63" s="2"/>
      <c r="F63" s="2"/>
      <c r="G63" s="23"/>
      <c r="H63" s="15"/>
      <c r="I63" s="420"/>
      <c r="J63" s="15"/>
      <c r="K63" s="15"/>
      <c r="L63" s="15"/>
      <c r="M63" s="15"/>
      <c r="N63" s="15"/>
      <c r="O63" s="15">
        <f t="shared" si="4"/>
        <v>0</v>
      </c>
      <c r="P63" s="15"/>
      <c r="Q63" s="15"/>
      <c r="R63" s="15"/>
      <c r="S63" s="15"/>
      <c r="T63" s="52">
        <f t="shared" si="5"/>
        <v>0</v>
      </c>
      <c r="U63" s="15"/>
      <c r="V63" s="6"/>
    </row>
    <row r="64" spans="1:22" s="59" customFormat="1" ht="13.5" customHeight="1" hidden="1">
      <c r="A64" s="58"/>
      <c r="B64" s="1"/>
      <c r="C64" s="1"/>
      <c r="D64" s="2"/>
      <c r="E64" s="2"/>
      <c r="F64" s="2"/>
      <c r="G64" s="23"/>
      <c r="H64" s="15"/>
      <c r="I64" s="420"/>
      <c r="J64" s="15"/>
      <c r="K64" s="15"/>
      <c r="L64" s="15"/>
      <c r="M64" s="15"/>
      <c r="N64" s="15"/>
      <c r="O64" s="15">
        <f t="shared" si="4"/>
        <v>0</v>
      </c>
      <c r="P64" s="15"/>
      <c r="Q64" s="15"/>
      <c r="R64" s="15"/>
      <c r="S64" s="15"/>
      <c r="T64" s="52">
        <f t="shared" si="5"/>
        <v>0</v>
      </c>
      <c r="U64" s="15"/>
      <c r="V64" s="6"/>
    </row>
    <row r="65" spans="1:22" s="59" customFormat="1" ht="13.5" customHeight="1" hidden="1">
      <c r="A65" s="58"/>
      <c r="B65" s="1"/>
      <c r="C65" s="1"/>
      <c r="D65" s="2"/>
      <c r="E65" s="2"/>
      <c r="F65" s="2"/>
      <c r="G65" s="23"/>
      <c r="H65" s="15"/>
      <c r="I65" s="420"/>
      <c r="J65" s="15"/>
      <c r="K65" s="15"/>
      <c r="L65" s="15"/>
      <c r="M65" s="15"/>
      <c r="N65" s="15"/>
      <c r="O65" s="15">
        <f t="shared" si="4"/>
        <v>0</v>
      </c>
      <c r="P65" s="15"/>
      <c r="Q65" s="15"/>
      <c r="R65" s="15"/>
      <c r="S65" s="15"/>
      <c r="T65" s="52">
        <f t="shared" si="5"/>
        <v>0</v>
      </c>
      <c r="U65" s="4"/>
      <c r="V65" s="6"/>
    </row>
    <row r="66" spans="1:22" s="59" customFormat="1" ht="13.5" customHeight="1" hidden="1">
      <c r="A66" s="58"/>
      <c r="B66" s="24"/>
      <c r="C66" s="24">
        <f>'ING.MATRIZ'!C58</f>
        <v>140</v>
      </c>
      <c r="D66" s="24"/>
      <c r="E66" s="24"/>
      <c r="F66" s="24"/>
      <c r="G66" s="29" t="str">
        <f>'ING.MATRIZ'!G58</f>
        <v>VENTA DE BIENES Y SERVICIOS DE LAS ADMIN. PÚBLICAS</v>
      </c>
      <c r="H66" s="28">
        <f aca="true" t="shared" si="20" ref="H66:M66">H67+H79</f>
        <v>0</v>
      </c>
      <c r="I66" s="482">
        <f t="shared" si="20"/>
        <v>0</v>
      </c>
      <c r="J66" s="28">
        <f t="shared" si="20"/>
        <v>0</v>
      </c>
      <c r="K66" s="28">
        <f t="shared" si="20"/>
        <v>0</v>
      </c>
      <c r="L66" s="28">
        <f t="shared" si="20"/>
        <v>0</v>
      </c>
      <c r="M66" s="28">
        <f t="shared" si="20"/>
        <v>0</v>
      </c>
      <c r="N66" s="28">
        <f aca="true" t="shared" si="21" ref="N66:S66">N67+N79</f>
        <v>0</v>
      </c>
      <c r="O66" s="28">
        <f t="shared" si="4"/>
        <v>0</v>
      </c>
      <c r="P66" s="28">
        <f t="shared" si="21"/>
        <v>0</v>
      </c>
      <c r="Q66" s="28">
        <f t="shared" si="21"/>
        <v>0</v>
      </c>
      <c r="R66" s="28">
        <f t="shared" si="21"/>
        <v>0</v>
      </c>
      <c r="S66" s="28">
        <f t="shared" si="21"/>
        <v>0</v>
      </c>
      <c r="T66" s="52">
        <f t="shared" si="5"/>
        <v>0</v>
      </c>
      <c r="U66" s="28" t="e">
        <f>#REF!+#REF!+#REF!</f>
        <v>#REF!</v>
      </c>
      <c r="V66" s="6" t="e">
        <f>U66*100/J66</f>
        <v>#REF!</v>
      </c>
    </row>
    <row r="67" spans="1:22" s="59" customFormat="1" ht="13.5" customHeight="1" hidden="1">
      <c r="A67" s="58"/>
      <c r="B67" s="1"/>
      <c r="C67" s="1"/>
      <c r="D67" s="1">
        <f>'ING.MATRIZ'!D59</f>
        <v>141</v>
      </c>
      <c r="E67" s="1"/>
      <c r="F67" s="1"/>
      <c r="G67" s="13" t="str">
        <f>'ING.MATRIZ'!G59</f>
        <v>Venta de Bienes de la Administración Pública</v>
      </c>
      <c r="H67" s="4">
        <f aca="true" t="shared" si="22" ref="H67:M67">SUM(H68:H77)</f>
        <v>0</v>
      </c>
      <c r="I67" s="419">
        <f t="shared" si="22"/>
        <v>0</v>
      </c>
      <c r="J67" s="4">
        <f t="shared" si="22"/>
        <v>0</v>
      </c>
      <c r="K67" s="4">
        <f t="shared" si="22"/>
        <v>0</v>
      </c>
      <c r="L67" s="4">
        <f t="shared" si="22"/>
        <v>0</v>
      </c>
      <c r="M67" s="4">
        <f t="shared" si="22"/>
        <v>0</v>
      </c>
      <c r="N67" s="4">
        <f aca="true" t="shared" si="23" ref="N67:S67">SUM(N68:N77)</f>
        <v>0</v>
      </c>
      <c r="O67" s="4">
        <f t="shared" si="4"/>
        <v>0</v>
      </c>
      <c r="P67" s="4">
        <f t="shared" si="23"/>
        <v>0</v>
      </c>
      <c r="Q67" s="4">
        <f t="shared" si="23"/>
        <v>0</v>
      </c>
      <c r="R67" s="4">
        <f t="shared" si="23"/>
        <v>0</v>
      </c>
      <c r="S67" s="4">
        <f t="shared" si="23"/>
        <v>0</v>
      </c>
      <c r="T67" s="52">
        <f t="shared" si="5"/>
        <v>0</v>
      </c>
      <c r="U67" s="4" t="e">
        <f>#REF!+#REF!+#REF!</f>
        <v>#REF!</v>
      </c>
      <c r="V67" s="6" t="e">
        <f>U67*100/J67</f>
        <v>#REF!</v>
      </c>
    </row>
    <row r="68" spans="1:22" s="161" customFormat="1" ht="13.5" customHeight="1" hidden="1">
      <c r="A68" s="160"/>
      <c r="B68" s="1"/>
      <c r="C68" s="1"/>
      <c r="D68" s="2"/>
      <c r="E68" s="2"/>
      <c r="F68" s="2"/>
      <c r="G68" s="23"/>
      <c r="H68" s="15"/>
      <c r="I68" s="420"/>
      <c r="J68" s="15"/>
      <c r="K68" s="15"/>
      <c r="L68" s="15"/>
      <c r="M68" s="15"/>
      <c r="N68" s="15"/>
      <c r="O68" s="15">
        <f t="shared" si="4"/>
        <v>0</v>
      </c>
      <c r="P68" s="15"/>
      <c r="Q68" s="15"/>
      <c r="R68" s="15"/>
      <c r="S68" s="15"/>
      <c r="T68" s="52">
        <f t="shared" si="5"/>
        <v>0</v>
      </c>
      <c r="U68" s="15"/>
      <c r="V68" s="6"/>
    </row>
    <row r="69" spans="1:22" s="161" customFormat="1" ht="13.5" customHeight="1" hidden="1">
      <c r="A69" s="160"/>
      <c r="B69" s="1"/>
      <c r="C69" s="1"/>
      <c r="D69" s="2"/>
      <c r="E69" s="2"/>
      <c r="F69" s="2"/>
      <c r="G69" s="23"/>
      <c r="H69" s="15"/>
      <c r="I69" s="420"/>
      <c r="J69" s="15"/>
      <c r="K69" s="15"/>
      <c r="L69" s="15"/>
      <c r="M69" s="15"/>
      <c r="N69" s="15"/>
      <c r="O69" s="15">
        <f t="shared" si="4"/>
        <v>0</v>
      </c>
      <c r="P69" s="15"/>
      <c r="Q69" s="15"/>
      <c r="R69" s="15"/>
      <c r="S69" s="15"/>
      <c r="T69" s="52">
        <f t="shared" si="5"/>
        <v>0</v>
      </c>
      <c r="U69" s="15"/>
      <c r="V69" s="6"/>
    </row>
    <row r="70" spans="1:22" s="161" customFormat="1" ht="13.5" customHeight="1" hidden="1">
      <c r="A70" s="160"/>
      <c r="B70" s="1"/>
      <c r="C70" s="1"/>
      <c r="D70" s="2"/>
      <c r="E70" s="2"/>
      <c r="F70" s="25"/>
      <c r="G70" s="26"/>
      <c r="H70" s="15"/>
      <c r="I70" s="420"/>
      <c r="J70" s="15"/>
      <c r="K70" s="15"/>
      <c r="L70" s="15"/>
      <c r="M70" s="15"/>
      <c r="N70" s="15"/>
      <c r="O70" s="15">
        <f t="shared" si="4"/>
        <v>0</v>
      </c>
      <c r="P70" s="15"/>
      <c r="Q70" s="15"/>
      <c r="R70" s="15"/>
      <c r="S70" s="15"/>
      <c r="T70" s="52">
        <f t="shared" si="5"/>
        <v>0</v>
      </c>
      <c r="U70" s="15"/>
      <c r="V70" s="6"/>
    </row>
    <row r="71" spans="1:22" s="161" customFormat="1" ht="13.5" customHeight="1" hidden="1">
      <c r="A71" s="160"/>
      <c r="B71" s="1"/>
      <c r="C71" s="1"/>
      <c r="D71" s="25"/>
      <c r="E71" s="2"/>
      <c r="F71" s="25"/>
      <c r="G71" s="26"/>
      <c r="H71" s="15"/>
      <c r="I71" s="420"/>
      <c r="J71" s="15"/>
      <c r="K71" s="15"/>
      <c r="L71" s="15"/>
      <c r="M71" s="15"/>
      <c r="N71" s="15"/>
      <c r="O71" s="15">
        <f t="shared" si="4"/>
        <v>0</v>
      </c>
      <c r="P71" s="15"/>
      <c r="Q71" s="15"/>
      <c r="R71" s="15"/>
      <c r="S71" s="15"/>
      <c r="T71" s="52">
        <f t="shared" si="5"/>
        <v>0</v>
      </c>
      <c r="U71" s="15"/>
      <c r="V71" s="6"/>
    </row>
    <row r="72" spans="1:22" s="163" customFormat="1" ht="13.5" customHeight="1" hidden="1">
      <c r="A72" s="162"/>
      <c r="B72" s="24"/>
      <c r="C72" s="24"/>
      <c r="D72" s="25"/>
      <c r="E72" s="2"/>
      <c r="F72" s="25"/>
      <c r="G72" s="26"/>
      <c r="H72" s="15"/>
      <c r="I72" s="420"/>
      <c r="J72" s="15"/>
      <c r="K72" s="15"/>
      <c r="L72" s="15"/>
      <c r="M72" s="15"/>
      <c r="N72" s="15"/>
      <c r="O72" s="15">
        <f t="shared" si="4"/>
        <v>0</v>
      </c>
      <c r="P72" s="15"/>
      <c r="Q72" s="15"/>
      <c r="R72" s="15"/>
      <c r="S72" s="15"/>
      <c r="T72" s="52">
        <f t="shared" si="5"/>
        <v>0</v>
      </c>
      <c r="U72" s="15"/>
      <c r="V72" s="6"/>
    </row>
    <row r="73" spans="1:22" s="163" customFormat="1" ht="13.5" customHeight="1" hidden="1">
      <c r="A73" s="162"/>
      <c r="B73" s="24"/>
      <c r="C73" s="24"/>
      <c r="D73" s="25"/>
      <c r="E73" s="2"/>
      <c r="F73" s="25"/>
      <c r="G73" s="26"/>
      <c r="H73" s="15"/>
      <c r="I73" s="420"/>
      <c r="J73" s="15"/>
      <c r="K73" s="15"/>
      <c r="L73" s="15"/>
      <c r="M73" s="15"/>
      <c r="N73" s="15"/>
      <c r="O73" s="15">
        <f t="shared" si="4"/>
        <v>0</v>
      </c>
      <c r="P73" s="15"/>
      <c r="Q73" s="15"/>
      <c r="R73" s="15"/>
      <c r="S73" s="15"/>
      <c r="T73" s="52">
        <f t="shared" si="5"/>
        <v>0</v>
      </c>
      <c r="U73" s="15"/>
      <c r="V73" s="6"/>
    </row>
    <row r="74" spans="1:22" s="163" customFormat="1" ht="13.5" customHeight="1" hidden="1">
      <c r="A74" s="162"/>
      <c r="B74" s="24"/>
      <c r="C74" s="24"/>
      <c r="D74" s="25"/>
      <c r="E74" s="2"/>
      <c r="F74" s="25"/>
      <c r="G74" s="23"/>
      <c r="H74" s="15"/>
      <c r="I74" s="420"/>
      <c r="J74" s="15"/>
      <c r="K74" s="15"/>
      <c r="L74" s="15"/>
      <c r="M74" s="15"/>
      <c r="N74" s="15"/>
      <c r="O74" s="15">
        <f t="shared" si="4"/>
        <v>0</v>
      </c>
      <c r="P74" s="15"/>
      <c r="Q74" s="15"/>
      <c r="R74" s="15"/>
      <c r="S74" s="15"/>
      <c r="T74" s="52">
        <f t="shared" si="5"/>
        <v>0</v>
      </c>
      <c r="U74" s="15"/>
      <c r="V74" s="6"/>
    </row>
    <row r="75" spans="1:22" s="163" customFormat="1" ht="13.5" customHeight="1" hidden="1">
      <c r="A75" s="162"/>
      <c r="B75" s="24"/>
      <c r="C75" s="24"/>
      <c r="D75" s="25"/>
      <c r="E75" s="2"/>
      <c r="F75" s="25"/>
      <c r="G75" s="23"/>
      <c r="H75" s="15"/>
      <c r="I75" s="420"/>
      <c r="J75" s="15"/>
      <c r="K75" s="15"/>
      <c r="L75" s="15"/>
      <c r="M75" s="15"/>
      <c r="N75" s="15"/>
      <c r="O75" s="15">
        <f t="shared" si="4"/>
        <v>0</v>
      </c>
      <c r="P75" s="15"/>
      <c r="Q75" s="15"/>
      <c r="R75" s="15"/>
      <c r="S75" s="15"/>
      <c r="T75" s="52">
        <f t="shared" si="5"/>
        <v>0</v>
      </c>
      <c r="U75" s="15"/>
      <c r="V75" s="6"/>
    </row>
    <row r="76" spans="1:22" s="161" customFormat="1" ht="13.5" customHeight="1" hidden="1">
      <c r="A76" s="160"/>
      <c r="B76" s="1"/>
      <c r="C76" s="1"/>
      <c r="D76" s="2"/>
      <c r="E76" s="2"/>
      <c r="F76" s="2"/>
      <c r="G76" s="23"/>
      <c r="H76" s="15"/>
      <c r="I76" s="420"/>
      <c r="J76" s="15"/>
      <c r="K76" s="15"/>
      <c r="L76" s="15"/>
      <c r="M76" s="15"/>
      <c r="N76" s="15"/>
      <c r="O76" s="15">
        <f t="shared" si="4"/>
        <v>0</v>
      </c>
      <c r="P76" s="15"/>
      <c r="Q76" s="15"/>
      <c r="R76" s="15"/>
      <c r="S76" s="15"/>
      <c r="T76" s="52">
        <f t="shared" si="5"/>
        <v>0</v>
      </c>
      <c r="U76" s="15"/>
      <c r="V76" s="6"/>
    </row>
    <row r="77" spans="1:22" s="161" customFormat="1" ht="13.5" customHeight="1" hidden="1">
      <c r="A77" s="160"/>
      <c r="B77" s="1"/>
      <c r="C77" s="1"/>
      <c r="D77" s="2"/>
      <c r="E77" s="2"/>
      <c r="F77" s="2"/>
      <c r="G77" s="23"/>
      <c r="H77" s="15"/>
      <c r="I77" s="420"/>
      <c r="J77" s="15"/>
      <c r="K77" s="15"/>
      <c r="L77" s="15"/>
      <c r="M77" s="15"/>
      <c r="N77" s="15"/>
      <c r="O77" s="15">
        <f aca="true" t="shared" si="24" ref="O77:O140">SUM(K77:N77)</f>
        <v>0</v>
      </c>
      <c r="P77" s="15"/>
      <c r="Q77" s="15"/>
      <c r="R77" s="15"/>
      <c r="S77" s="15"/>
      <c r="T77" s="52">
        <f aca="true" t="shared" si="25" ref="T77:T140">+O77+P77+Q77+R77+S77</f>
        <v>0</v>
      </c>
      <c r="U77" s="15"/>
      <c r="V77" s="6"/>
    </row>
    <row r="78" spans="1:22" s="164" customFormat="1" ht="13.5" customHeight="1" hidden="1">
      <c r="A78" s="160"/>
      <c r="B78" s="16"/>
      <c r="C78" s="16"/>
      <c r="D78" s="17"/>
      <c r="E78" s="17"/>
      <c r="F78" s="17"/>
      <c r="G78" s="18"/>
      <c r="H78" s="19"/>
      <c r="I78" s="421"/>
      <c r="J78" s="19"/>
      <c r="K78" s="19"/>
      <c r="L78" s="19"/>
      <c r="M78" s="19"/>
      <c r="N78" s="19"/>
      <c r="O78" s="19">
        <f t="shared" si="24"/>
        <v>0</v>
      </c>
      <c r="P78" s="19"/>
      <c r="Q78" s="19"/>
      <c r="R78" s="19"/>
      <c r="S78" s="19"/>
      <c r="T78" s="52">
        <f t="shared" si="25"/>
        <v>0</v>
      </c>
      <c r="U78" s="19"/>
      <c r="V78" s="22"/>
    </row>
    <row r="79" spans="1:22" s="59" customFormat="1" ht="13.5" customHeight="1" hidden="1">
      <c r="A79" s="58"/>
      <c r="B79" s="1"/>
      <c r="C79" s="1"/>
      <c r="D79" s="1">
        <f>'ING.MATRIZ'!D71</f>
        <v>142</v>
      </c>
      <c r="E79" s="1"/>
      <c r="F79" s="1"/>
      <c r="G79" s="29" t="str">
        <f>'ING.MATRIZ'!G71</f>
        <v>Venta de Servicios de la Administración Pública.</v>
      </c>
      <c r="H79" s="4">
        <f aca="true" t="shared" si="26" ref="H79:M79">SUM(H80:H86)</f>
        <v>0</v>
      </c>
      <c r="I79" s="419">
        <f t="shared" si="26"/>
        <v>0</v>
      </c>
      <c r="J79" s="4">
        <f t="shared" si="26"/>
        <v>0</v>
      </c>
      <c r="K79" s="4">
        <f t="shared" si="26"/>
        <v>0</v>
      </c>
      <c r="L79" s="4">
        <f t="shared" si="26"/>
        <v>0</v>
      </c>
      <c r="M79" s="4">
        <f t="shared" si="26"/>
        <v>0</v>
      </c>
      <c r="N79" s="4">
        <f aca="true" t="shared" si="27" ref="N79:S79">SUM(N80:N86)</f>
        <v>0</v>
      </c>
      <c r="O79" s="4">
        <f t="shared" si="24"/>
        <v>0</v>
      </c>
      <c r="P79" s="4">
        <f t="shared" si="27"/>
        <v>0</v>
      </c>
      <c r="Q79" s="4">
        <f t="shared" si="27"/>
        <v>0</v>
      </c>
      <c r="R79" s="4">
        <f t="shared" si="27"/>
        <v>0</v>
      </c>
      <c r="S79" s="4">
        <f t="shared" si="27"/>
        <v>0</v>
      </c>
      <c r="T79" s="52">
        <f t="shared" si="25"/>
        <v>0</v>
      </c>
      <c r="U79" s="4" t="e">
        <f>#REF!+#REF!+#REF!</f>
        <v>#REF!</v>
      </c>
      <c r="V79" s="6" t="e">
        <f>U79*100/J79</f>
        <v>#REF!</v>
      </c>
    </row>
    <row r="80" spans="1:22" s="59" customFormat="1" ht="13.5" customHeight="1" hidden="1">
      <c r="A80" s="58"/>
      <c r="B80" s="1"/>
      <c r="C80" s="1"/>
      <c r="D80" s="2"/>
      <c r="E80" s="2"/>
      <c r="F80" s="2"/>
      <c r="G80" s="23"/>
      <c r="H80" s="15"/>
      <c r="I80" s="420"/>
      <c r="J80" s="5"/>
      <c r="K80" s="15"/>
      <c r="L80" s="15"/>
      <c r="M80" s="15"/>
      <c r="N80" s="15"/>
      <c r="O80" s="15">
        <f t="shared" si="24"/>
        <v>0</v>
      </c>
      <c r="P80" s="15"/>
      <c r="Q80" s="15"/>
      <c r="R80" s="15"/>
      <c r="S80" s="15"/>
      <c r="T80" s="52">
        <f t="shared" si="25"/>
        <v>0</v>
      </c>
      <c r="U80" s="15"/>
      <c r="V80" s="6"/>
    </row>
    <row r="81" spans="1:22" s="59" customFormat="1" ht="13.5" customHeight="1" hidden="1">
      <c r="A81" s="58"/>
      <c r="B81" s="1"/>
      <c r="C81" s="1"/>
      <c r="D81" s="2"/>
      <c r="E81" s="2"/>
      <c r="F81" s="2"/>
      <c r="G81" s="23"/>
      <c r="H81" s="15"/>
      <c r="I81" s="420"/>
      <c r="J81" s="5"/>
      <c r="K81" s="15"/>
      <c r="L81" s="15"/>
      <c r="M81" s="15"/>
      <c r="N81" s="15"/>
      <c r="O81" s="15">
        <f t="shared" si="24"/>
        <v>0</v>
      </c>
      <c r="P81" s="15"/>
      <c r="Q81" s="15"/>
      <c r="R81" s="15"/>
      <c r="S81" s="15"/>
      <c r="T81" s="52">
        <f t="shared" si="25"/>
        <v>0</v>
      </c>
      <c r="U81" s="15"/>
      <c r="V81" s="6"/>
    </row>
    <row r="82" spans="1:22" s="59" customFormat="1" ht="13.5" customHeight="1" hidden="1">
      <c r="A82" s="58"/>
      <c r="B82" s="1"/>
      <c r="C82" s="1"/>
      <c r="D82" s="2"/>
      <c r="E82" s="2"/>
      <c r="F82" s="2"/>
      <c r="G82" s="23"/>
      <c r="H82" s="15"/>
      <c r="I82" s="420"/>
      <c r="J82" s="5"/>
      <c r="K82" s="15"/>
      <c r="L82" s="15"/>
      <c r="M82" s="15"/>
      <c r="N82" s="15"/>
      <c r="O82" s="15">
        <f t="shared" si="24"/>
        <v>0</v>
      </c>
      <c r="P82" s="15"/>
      <c r="Q82" s="15"/>
      <c r="R82" s="15"/>
      <c r="S82" s="15"/>
      <c r="T82" s="52">
        <f t="shared" si="25"/>
        <v>0</v>
      </c>
      <c r="U82" s="15"/>
      <c r="V82" s="6"/>
    </row>
    <row r="83" spans="1:22" s="59" customFormat="1" ht="13.5" customHeight="1" hidden="1">
      <c r="A83" s="58"/>
      <c r="B83" s="1"/>
      <c r="C83" s="1"/>
      <c r="D83" s="2"/>
      <c r="E83" s="2"/>
      <c r="F83" s="2"/>
      <c r="G83" s="23"/>
      <c r="H83" s="15"/>
      <c r="I83" s="420"/>
      <c r="J83" s="5"/>
      <c r="K83" s="15"/>
      <c r="L83" s="15"/>
      <c r="M83" s="15"/>
      <c r="N83" s="15"/>
      <c r="O83" s="15">
        <f t="shared" si="24"/>
        <v>0</v>
      </c>
      <c r="P83" s="15"/>
      <c r="Q83" s="15"/>
      <c r="R83" s="15"/>
      <c r="S83" s="15"/>
      <c r="T83" s="52">
        <f t="shared" si="25"/>
        <v>0</v>
      </c>
      <c r="U83" s="15"/>
      <c r="V83" s="6"/>
    </row>
    <row r="84" spans="1:22" s="59" customFormat="1" ht="13.5" customHeight="1" hidden="1">
      <c r="A84" s="58"/>
      <c r="B84" s="1"/>
      <c r="C84" s="1"/>
      <c r="D84" s="2"/>
      <c r="E84" s="2"/>
      <c r="F84" s="2"/>
      <c r="G84" s="23"/>
      <c r="H84" s="15"/>
      <c r="I84" s="420"/>
      <c r="J84" s="5"/>
      <c r="K84" s="15"/>
      <c r="L84" s="15"/>
      <c r="M84" s="15"/>
      <c r="N84" s="15"/>
      <c r="O84" s="15">
        <f t="shared" si="24"/>
        <v>0</v>
      </c>
      <c r="P84" s="15"/>
      <c r="Q84" s="15"/>
      <c r="R84" s="15"/>
      <c r="S84" s="15"/>
      <c r="T84" s="52">
        <f t="shared" si="25"/>
        <v>0</v>
      </c>
      <c r="U84" s="15"/>
      <c r="V84" s="6"/>
    </row>
    <row r="85" spans="1:22" s="59" customFormat="1" ht="13.5" customHeight="1" hidden="1">
      <c r="A85" s="58"/>
      <c r="B85" s="1"/>
      <c r="C85" s="1"/>
      <c r="D85" s="2"/>
      <c r="E85" s="2"/>
      <c r="F85" s="2"/>
      <c r="G85" s="23"/>
      <c r="H85" s="15"/>
      <c r="I85" s="420"/>
      <c r="J85" s="5"/>
      <c r="K85" s="15"/>
      <c r="L85" s="15"/>
      <c r="M85" s="15"/>
      <c r="N85" s="15"/>
      <c r="O85" s="15">
        <f t="shared" si="24"/>
        <v>0</v>
      </c>
      <c r="P85" s="15"/>
      <c r="Q85" s="15"/>
      <c r="R85" s="15"/>
      <c r="S85" s="15"/>
      <c r="T85" s="52">
        <f t="shared" si="25"/>
        <v>0</v>
      </c>
      <c r="U85" s="15"/>
      <c r="V85" s="6"/>
    </row>
    <row r="86" spans="1:22" s="60" customFormat="1" ht="13.5" customHeight="1" hidden="1">
      <c r="A86" s="58"/>
      <c r="B86" s="16"/>
      <c r="C86" s="16"/>
      <c r="D86" s="17"/>
      <c r="E86" s="17"/>
      <c r="F86" s="17"/>
      <c r="G86" s="18"/>
      <c r="H86" s="21"/>
      <c r="I86" s="421"/>
      <c r="J86" s="21"/>
      <c r="K86" s="21"/>
      <c r="L86" s="21"/>
      <c r="M86" s="21"/>
      <c r="N86" s="21"/>
      <c r="O86" s="21">
        <f t="shared" si="24"/>
        <v>0</v>
      </c>
      <c r="P86" s="21"/>
      <c r="Q86" s="21"/>
      <c r="R86" s="21"/>
      <c r="S86" s="21"/>
      <c r="T86" s="52">
        <f t="shared" si="25"/>
        <v>0</v>
      </c>
      <c r="U86" s="21"/>
      <c r="V86" s="22"/>
    </row>
    <row r="87" spans="1:22" s="161" customFormat="1" ht="18">
      <c r="A87" s="259"/>
      <c r="B87" s="1"/>
      <c r="C87" s="1">
        <f>'ING.MATRIZ'!C79</f>
        <v>150</v>
      </c>
      <c r="D87" s="1"/>
      <c r="E87" s="1"/>
      <c r="F87" s="1"/>
      <c r="G87" s="13" t="str">
        <f>'ING.MATRIZ'!G79</f>
        <v>TRANSFERENCIAS CORRIENTES</v>
      </c>
      <c r="H87" s="4">
        <f aca="true" t="shared" si="28" ref="H87:M87">H88+H93</f>
        <v>284154906</v>
      </c>
      <c r="I87" s="419">
        <f t="shared" si="28"/>
        <v>-30309856</v>
      </c>
      <c r="J87" s="4">
        <f t="shared" si="28"/>
        <v>253845050</v>
      </c>
      <c r="K87" s="4">
        <f t="shared" si="28"/>
        <v>66166633</v>
      </c>
      <c r="L87" s="4">
        <f t="shared" si="28"/>
        <v>0</v>
      </c>
      <c r="M87" s="4">
        <f t="shared" si="28"/>
        <v>83104410</v>
      </c>
      <c r="N87" s="4">
        <f aca="true" t="shared" si="29" ref="N87:S87">N88+N93</f>
        <v>0</v>
      </c>
      <c r="O87" s="4">
        <f t="shared" si="24"/>
        <v>149271043</v>
      </c>
      <c r="P87" s="4">
        <f t="shared" si="29"/>
        <v>0</v>
      </c>
      <c r="Q87" s="4">
        <f t="shared" si="29"/>
        <v>0</v>
      </c>
      <c r="R87" s="4">
        <f t="shared" si="29"/>
        <v>95647707</v>
      </c>
      <c r="S87" s="4">
        <f t="shared" si="29"/>
        <v>19269076</v>
      </c>
      <c r="T87" s="52">
        <f t="shared" si="25"/>
        <v>264187826</v>
      </c>
      <c r="U87" s="28">
        <f>+U88</f>
        <v>264187826</v>
      </c>
      <c r="V87" s="6">
        <f>U87*100/J87</f>
        <v>104.07444462675163</v>
      </c>
    </row>
    <row r="88" spans="1:22" s="59" customFormat="1" ht="25.5" customHeight="1">
      <c r="A88" s="260"/>
      <c r="B88" s="1"/>
      <c r="C88" s="1"/>
      <c r="D88" s="1">
        <f>'ING.MATRIZ'!D80</f>
        <v>153</v>
      </c>
      <c r="E88" s="1"/>
      <c r="F88" s="1"/>
      <c r="G88" s="29" t="str">
        <f>'ING.MATRIZ'!G80</f>
        <v>Transferencias Consolidables de Entidades y Organismos del Estado por Coparticipación</v>
      </c>
      <c r="H88" s="4">
        <f aca="true" t="shared" si="30" ref="H88:M88">SUM(H89:H91)</f>
        <v>284154906</v>
      </c>
      <c r="I88" s="419">
        <f t="shared" si="30"/>
        <v>-30309856</v>
      </c>
      <c r="J88" s="4">
        <f t="shared" si="30"/>
        <v>253845050</v>
      </c>
      <c r="K88" s="4">
        <f t="shared" si="30"/>
        <v>66166633</v>
      </c>
      <c r="L88" s="4">
        <f t="shared" si="30"/>
        <v>0</v>
      </c>
      <c r="M88" s="4">
        <f t="shared" si="30"/>
        <v>83104410</v>
      </c>
      <c r="N88" s="4">
        <f aca="true" t="shared" si="31" ref="N88:S88">SUM(N89:N91)</f>
        <v>0</v>
      </c>
      <c r="O88" s="4">
        <f t="shared" si="24"/>
        <v>149271043</v>
      </c>
      <c r="P88" s="4">
        <f t="shared" si="31"/>
        <v>0</v>
      </c>
      <c r="Q88" s="4">
        <f t="shared" si="31"/>
        <v>0</v>
      </c>
      <c r="R88" s="4">
        <f t="shared" si="31"/>
        <v>95647707</v>
      </c>
      <c r="S88" s="4">
        <f t="shared" si="31"/>
        <v>19269076</v>
      </c>
      <c r="T88" s="52">
        <f t="shared" si="25"/>
        <v>264187826</v>
      </c>
      <c r="U88" s="4">
        <f>+U89</f>
        <v>264187826</v>
      </c>
      <c r="V88" s="6">
        <f>U88*100/J88</f>
        <v>104.07444462675163</v>
      </c>
    </row>
    <row r="89" spans="1:22" s="59" customFormat="1" ht="18">
      <c r="A89" s="260"/>
      <c r="B89" s="1"/>
      <c r="C89" s="1"/>
      <c r="D89" s="2" t="str">
        <f>'ING.MATRIZ'!D81</f>
        <v>153</v>
      </c>
      <c r="E89" s="2" t="str">
        <f>'ING.MATRIZ'!E81</f>
        <v>070</v>
      </c>
      <c r="F89" s="2" t="str">
        <f>'ING.MATRIZ'!F81</f>
        <v>011</v>
      </c>
      <c r="G89" s="23" t="str">
        <f>'ING.MATRIZ'!G81</f>
        <v>Aportes del Gobierno Central con Royalties</v>
      </c>
      <c r="H89" s="15">
        <f>'ING.MATRIZ'!H81</f>
        <v>284154906</v>
      </c>
      <c r="I89" s="420">
        <f>'ING.MATRIZ'!I81</f>
        <v>-30309856</v>
      </c>
      <c r="J89" s="15">
        <f>H89+I89</f>
        <v>253845050</v>
      </c>
      <c r="K89" s="15">
        <v>66166633</v>
      </c>
      <c r="L89" s="15">
        <v>0</v>
      </c>
      <c r="M89" s="15">
        <v>83104410</v>
      </c>
      <c r="N89" s="15">
        <v>0</v>
      </c>
      <c r="O89" s="15">
        <f t="shared" si="24"/>
        <v>149271043</v>
      </c>
      <c r="P89" s="15">
        <v>0</v>
      </c>
      <c r="Q89" s="15">
        <v>0</v>
      </c>
      <c r="R89" s="15">
        <v>95647707</v>
      </c>
      <c r="S89" s="15">
        <v>19269076</v>
      </c>
      <c r="T89" s="52">
        <f t="shared" si="25"/>
        <v>264187826</v>
      </c>
      <c r="U89" s="15">
        <f>+T89</f>
        <v>264187826</v>
      </c>
      <c r="V89" s="6">
        <f>U89*100/J89</f>
        <v>104.07444462675163</v>
      </c>
    </row>
    <row r="90" spans="1:22" s="59" customFormat="1" ht="18.75" customHeight="1" hidden="1">
      <c r="A90" s="260"/>
      <c r="B90" s="1"/>
      <c r="C90" s="1"/>
      <c r="D90" s="2"/>
      <c r="E90" s="2"/>
      <c r="F90" s="2"/>
      <c r="G90" s="23"/>
      <c r="H90" s="15"/>
      <c r="I90" s="420"/>
      <c r="J90" s="15"/>
      <c r="K90" s="15"/>
      <c r="L90" s="15"/>
      <c r="M90" s="15"/>
      <c r="N90" s="15"/>
      <c r="O90" s="15">
        <f t="shared" si="24"/>
        <v>0</v>
      </c>
      <c r="P90" s="15"/>
      <c r="Q90" s="15"/>
      <c r="R90" s="15"/>
      <c r="S90" s="15"/>
      <c r="T90" s="52">
        <f t="shared" si="25"/>
        <v>0</v>
      </c>
      <c r="U90" s="15"/>
      <c r="V90" s="6"/>
    </row>
    <row r="91" spans="1:22" s="59" customFormat="1" ht="18.75" customHeight="1" hidden="1">
      <c r="A91" s="260"/>
      <c r="B91" s="1"/>
      <c r="C91" s="1"/>
      <c r="D91" s="2"/>
      <c r="E91" s="2"/>
      <c r="F91" s="2"/>
      <c r="G91" s="23"/>
      <c r="H91" s="15"/>
      <c r="I91" s="420"/>
      <c r="J91" s="15"/>
      <c r="K91" s="15"/>
      <c r="L91" s="15"/>
      <c r="M91" s="15"/>
      <c r="N91" s="15"/>
      <c r="O91" s="15">
        <f t="shared" si="24"/>
        <v>0</v>
      </c>
      <c r="P91" s="15"/>
      <c r="Q91" s="15"/>
      <c r="R91" s="15"/>
      <c r="S91" s="15"/>
      <c r="T91" s="52">
        <f t="shared" si="25"/>
        <v>0</v>
      </c>
      <c r="U91" s="15"/>
      <c r="V91" s="6"/>
    </row>
    <row r="92" spans="1:22" s="60" customFormat="1" ht="18.75" customHeight="1" hidden="1">
      <c r="A92" s="260"/>
      <c r="B92" s="16"/>
      <c r="C92" s="16"/>
      <c r="D92" s="17"/>
      <c r="E92" s="17"/>
      <c r="F92" s="17"/>
      <c r="G92" s="18"/>
      <c r="H92" s="19"/>
      <c r="I92" s="421"/>
      <c r="J92" s="19"/>
      <c r="K92" s="19"/>
      <c r="L92" s="19"/>
      <c r="M92" s="19"/>
      <c r="N92" s="19"/>
      <c r="O92" s="19">
        <f t="shared" si="24"/>
        <v>0</v>
      </c>
      <c r="P92" s="19"/>
      <c r="Q92" s="19"/>
      <c r="R92" s="19"/>
      <c r="S92" s="19"/>
      <c r="T92" s="52">
        <f t="shared" si="25"/>
        <v>0</v>
      </c>
      <c r="U92" s="19"/>
      <c r="V92" s="22"/>
    </row>
    <row r="93" spans="1:22" s="59" customFormat="1" ht="22.5" customHeight="1" hidden="1">
      <c r="A93" s="260"/>
      <c r="B93" s="1"/>
      <c r="C93" s="1"/>
      <c r="D93" s="1" t="str">
        <f>'ING.MATRIZ'!D85</f>
        <v>154</v>
      </c>
      <c r="E93" s="1"/>
      <c r="F93" s="1"/>
      <c r="G93" s="29" t="str">
        <f>'ING.MATRIZ'!G85</f>
        <v>Transferencias Consolidables de Entidades y Organismos del Estado</v>
      </c>
      <c r="H93" s="4">
        <f aca="true" t="shared" si="32" ref="H93:N93">H94</f>
        <v>0</v>
      </c>
      <c r="I93" s="419">
        <f t="shared" si="32"/>
        <v>0</v>
      </c>
      <c r="J93" s="4">
        <f t="shared" si="32"/>
        <v>0</v>
      </c>
      <c r="K93" s="4">
        <f t="shared" si="32"/>
        <v>0</v>
      </c>
      <c r="L93" s="4">
        <f t="shared" si="32"/>
        <v>0</v>
      </c>
      <c r="M93" s="4">
        <f t="shared" si="32"/>
        <v>0</v>
      </c>
      <c r="N93" s="4">
        <f t="shared" si="32"/>
        <v>0</v>
      </c>
      <c r="O93" s="4">
        <f t="shared" si="24"/>
        <v>0</v>
      </c>
      <c r="P93" s="4">
        <f>P94</f>
        <v>0</v>
      </c>
      <c r="Q93" s="4">
        <f>Q94</f>
        <v>0</v>
      </c>
      <c r="R93" s="4"/>
      <c r="S93" s="4"/>
      <c r="T93" s="52">
        <f t="shared" si="25"/>
        <v>0</v>
      </c>
      <c r="U93" s="4" t="e">
        <f>#REF!+#REF!+#REF!</f>
        <v>#REF!</v>
      </c>
      <c r="V93" s="6" t="e">
        <f>U93*100/J93</f>
        <v>#REF!</v>
      </c>
    </row>
    <row r="94" spans="1:22" s="59" customFormat="1" ht="18.75" customHeight="1" hidden="1">
      <c r="A94" s="260"/>
      <c r="B94" s="1"/>
      <c r="C94" s="1"/>
      <c r="D94" s="2"/>
      <c r="E94" s="2"/>
      <c r="F94" s="2"/>
      <c r="G94" s="23"/>
      <c r="H94" s="15"/>
      <c r="I94" s="420"/>
      <c r="J94" s="15"/>
      <c r="K94" s="15"/>
      <c r="L94" s="15"/>
      <c r="M94" s="15"/>
      <c r="N94" s="15"/>
      <c r="O94" s="15">
        <f t="shared" si="24"/>
        <v>0</v>
      </c>
      <c r="P94" s="15"/>
      <c r="Q94" s="15"/>
      <c r="R94" s="15"/>
      <c r="S94" s="15"/>
      <c r="T94" s="52">
        <f t="shared" si="25"/>
        <v>0</v>
      </c>
      <c r="U94" s="15"/>
      <c r="V94" s="6"/>
    </row>
    <row r="95" spans="1:22" s="60" customFormat="1" ht="18.75" customHeight="1" hidden="1">
      <c r="A95" s="260"/>
      <c r="B95" s="16"/>
      <c r="C95" s="16"/>
      <c r="D95" s="17"/>
      <c r="E95" s="17"/>
      <c r="F95" s="17"/>
      <c r="G95" s="18"/>
      <c r="H95" s="19"/>
      <c r="I95" s="421"/>
      <c r="J95" s="19"/>
      <c r="K95" s="19"/>
      <c r="L95" s="19"/>
      <c r="M95" s="19"/>
      <c r="N95" s="19"/>
      <c r="O95" s="19">
        <f t="shared" si="24"/>
        <v>0</v>
      </c>
      <c r="P95" s="19"/>
      <c r="Q95" s="19"/>
      <c r="R95" s="19"/>
      <c r="S95" s="19"/>
      <c r="T95" s="52">
        <f t="shared" si="25"/>
        <v>0</v>
      </c>
      <c r="U95" s="20"/>
      <c r="V95" s="22"/>
    </row>
    <row r="96" spans="1:22" s="59" customFormat="1" ht="18.75" customHeight="1" hidden="1">
      <c r="A96" s="260"/>
      <c r="B96" s="1"/>
      <c r="C96" s="1">
        <f>'ING.MATRIZ'!C88</f>
        <v>160</v>
      </c>
      <c r="D96" s="2"/>
      <c r="E96" s="2"/>
      <c r="F96" s="2"/>
      <c r="G96" s="13" t="str">
        <f>'ING.MATRIZ'!G88</f>
        <v>RENTAS DE LA PROPIEDAD</v>
      </c>
      <c r="H96" s="4">
        <f aca="true" t="shared" si="33" ref="H96:N96">H97+H100</f>
        <v>0</v>
      </c>
      <c r="I96" s="419">
        <f t="shared" si="33"/>
        <v>0</v>
      </c>
      <c r="J96" s="4">
        <f t="shared" si="33"/>
        <v>0</v>
      </c>
      <c r="K96" s="4">
        <f t="shared" si="33"/>
        <v>0</v>
      </c>
      <c r="L96" s="4">
        <f t="shared" si="33"/>
        <v>0</v>
      </c>
      <c r="M96" s="4">
        <f t="shared" si="33"/>
        <v>0</v>
      </c>
      <c r="N96" s="4">
        <f t="shared" si="33"/>
        <v>0</v>
      </c>
      <c r="O96" s="4">
        <f t="shared" si="24"/>
        <v>0</v>
      </c>
      <c r="P96" s="4">
        <f>P97+P100</f>
        <v>0</v>
      </c>
      <c r="Q96" s="4">
        <f>Q97+Q100</f>
        <v>0</v>
      </c>
      <c r="R96" s="4"/>
      <c r="S96" s="4"/>
      <c r="T96" s="52">
        <f t="shared" si="25"/>
        <v>0</v>
      </c>
      <c r="U96" s="28" t="e">
        <f>#REF!+#REF!+#REF!</f>
        <v>#REF!</v>
      </c>
      <c r="V96" s="6" t="e">
        <f>U96*100/J96</f>
        <v>#REF!</v>
      </c>
    </row>
    <row r="97" spans="1:22" s="59" customFormat="1" ht="18.75" customHeight="1" hidden="1">
      <c r="A97" s="260"/>
      <c r="B97" s="1"/>
      <c r="C97" s="1"/>
      <c r="D97" s="1" t="str">
        <f>'ING.MATRIZ'!D89</f>
        <v>161</v>
      </c>
      <c r="E97" s="2"/>
      <c r="F97" s="2"/>
      <c r="G97" s="29" t="str">
        <f>'ING.MATRIZ'!G89</f>
        <v>Intereses</v>
      </c>
      <c r="H97" s="4">
        <f aca="true" t="shared" si="34" ref="H97:N97">SUM(H98:H99)</f>
        <v>0</v>
      </c>
      <c r="I97" s="419">
        <f t="shared" si="34"/>
        <v>0</v>
      </c>
      <c r="J97" s="4">
        <f t="shared" si="34"/>
        <v>0</v>
      </c>
      <c r="K97" s="4">
        <f t="shared" si="34"/>
        <v>0</v>
      </c>
      <c r="L97" s="4">
        <f t="shared" si="34"/>
        <v>0</v>
      </c>
      <c r="M97" s="4">
        <f t="shared" si="34"/>
        <v>0</v>
      </c>
      <c r="N97" s="4">
        <f t="shared" si="34"/>
        <v>0</v>
      </c>
      <c r="O97" s="4">
        <f t="shared" si="24"/>
        <v>0</v>
      </c>
      <c r="P97" s="4">
        <f>SUM(P98:P99)</f>
        <v>0</v>
      </c>
      <c r="Q97" s="4">
        <f>SUM(Q98:Q99)</f>
        <v>0</v>
      </c>
      <c r="R97" s="4"/>
      <c r="S97" s="4"/>
      <c r="T97" s="52">
        <f t="shared" si="25"/>
        <v>0</v>
      </c>
      <c r="U97" s="4" t="e">
        <f>#REF!+#REF!+#REF!</f>
        <v>#REF!</v>
      </c>
      <c r="V97" s="6" t="e">
        <f>U97*100/J97</f>
        <v>#REF!</v>
      </c>
    </row>
    <row r="98" spans="1:22" s="59" customFormat="1" ht="18.75" customHeight="1" hidden="1">
      <c r="A98" s="260"/>
      <c r="B98" s="1"/>
      <c r="C98" s="1"/>
      <c r="D98" s="2"/>
      <c r="E98" s="2"/>
      <c r="F98" s="2"/>
      <c r="G98" s="23"/>
      <c r="H98" s="15"/>
      <c r="I98" s="420"/>
      <c r="J98" s="15"/>
      <c r="K98" s="15"/>
      <c r="L98" s="15"/>
      <c r="M98" s="15"/>
      <c r="N98" s="15"/>
      <c r="O98" s="15">
        <f t="shared" si="24"/>
        <v>0</v>
      </c>
      <c r="P98" s="15"/>
      <c r="Q98" s="15"/>
      <c r="R98" s="15"/>
      <c r="S98" s="15"/>
      <c r="T98" s="52">
        <f t="shared" si="25"/>
        <v>0</v>
      </c>
      <c r="U98" s="15"/>
      <c r="V98" s="6"/>
    </row>
    <row r="99" spans="1:22" s="59" customFormat="1" ht="18.75" customHeight="1" hidden="1">
      <c r="A99" s="260"/>
      <c r="B99" s="2"/>
      <c r="C99" s="2"/>
      <c r="D99" s="2"/>
      <c r="E99" s="2"/>
      <c r="F99" s="2"/>
      <c r="G99" s="23"/>
      <c r="H99" s="15"/>
      <c r="I99" s="420"/>
      <c r="J99" s="15"/>
      <c r="K99" s="15"/>
      <c r="L99" s="15"/>
      <c r="M99" s="15"/>
      <c r="N99" s="15"/>
      <c r="O99" s="15">
        <f t="shared" si="24"/>
        <v>0</v>
      </c>
      <c r="P99" s="15"/>
      <c r="Q99" s="15"/>
      <c r="R99" s="15"/>
      <c r="S99" s="15"/>
      <c r="T99" s="52">
        <f t="shared" si="25"/>
        <v>0</v>
      </c>
      <c r="U99" s="15"/>
      <c r="V99" s="6"/>
    </row>
    <row r="100" spans="1:22" s="59" customFormat="1" ht="18.75" customHeight="1" hidden="1">
      <c r="A100" s="260"/>
      <c r="B100" s="1"/>
      <c r="C100" s="1"/>
      <c r="D100" s="1">
        <f>'ING.MATRIZ'!D92</f>
        <v>163</v>
      </c>
      <c r="E100" s="2"/>
      <c r="F100" s="2"/>
      <c r="G100" s="29" t="str">
        <f>'ING.MATRIZ'!G92</f>
        <v>Arrendamiento de Inmuebles, Tierras, Terrenos y Otros.-</v>
      </c>
      <c r="H100" s="4">
        <f aca="true" t="shared" si="35" ref="H100:N100">SUM(H101:H115)</f>
        <v>0</v>
      </c>
      <c r="I100" s="419">
        <f t="shared" si="35"/>
        <v>0</v>
      </c>
      <c r="J100" s="4">
        <f t="shared" si="35"/>
        <v>0</v>
      </c>
      <c r="K100" s="4">
        <f t="shared" si="35"/>
        <v>0</v>
      </c>
      <c r="L100" s="4">
        <f t="shared" si="35"/>
        <v>0</v>
      </c>
      <c r="M100" s="4">
        <f t="shared" si="35"/>
        <v>0</v>
      </c>
      <c r="N100" s="4">
        <f t="shared" si="35"/>
        <v>0</v>
      </c>
      <c r="O100" s="4">
        <f t="shared" si="24"/>
        <v>0</v>
      </c>
      <c r="P100" s="4">
        <f>SUM(P101:P115)</f>
        <v>0</v>
      </c>
      <c r="Q100" s="4">
        <f>SUM(Q101:Q115)</f>
        <v>0</v>
      </c>
      <c r="R100" s="4"/>
      <c r="S100" s="4"/>
      <c r="T100" s="52">
        <f t="shared" si="25"/>
        <v>0</v>
      </c>
      <c r="U100" s="4" t="e">
        <f>#REF!+#REF!+#REF!</f>
        <v>#REF!</v>
      </c>
      <c r="V100" s="6" t="e">
        <f>U100*100/J100</f>
        <v>#REF!</v>
      </c>
    </row>
    <row r="101" spans="1:22" s="59" customFormat="1" ht="18.75" customHeight="1" hidden="1">
      <c r="A101" s="260"/>
      <c r="B101" s="1"/>
      <c r="C101" s="1"/>
      <c r="D101" s="2"/>
      <c r="E101" s="2"/>
      <c r="F101" s="2"/>
      <c r="G101" s="23"/>
      <c r="H101" s="15"/>
      <c r="I101" s="420"/>
      <c r="J101" s="15"/>
      <c r="K101" s="15"/>
      <c r="L101" s="15"/>
      <c r="M101" s="15"/>
      <c r="N101" s="15"/>
      <c r="O101" s="15">
        <f t="shared" si="24"/>
        <v>0</v>
      </c>
      <c r="P101" s="15"/>
      <c r="Q101" s="15"/>
      <c r="R101" s="15"/>
      <c r="S101" s="15"/>
      <c r="T101" s="52">
        <f t="shared" si="25"/>
        <v>0</v>
      </c>
      <c r="U101" s="15"/>
      <c r="V101" s="6"/>
    </row>
    <row r="102" spans="1:22" s="59" customFormat="1" ht="18.75" customHeight="1" hidden="1">
      <c r="A102" s="260"/>
      <c r="B102" s="1"/>
      <c r="C102" s="1"/>
      <c r="D102" s="2"/>
      <c r="E102" s="2"/>
      <c r="F102" s="2"/>
      <c r="G102" s="23"/>
      <c r="H102" s="15"/>
      <c r="I102" s="420"/>
      <c r="J102" s="15"/>
      <c r="K102" s="15"/>
      <c r="L102" s="15"/>
      <c r="M102" s="15"/>
      <c r="N102" s="15"/>
      <c r="O102" s="15">
        <f t="shared" si="24"/>
        <v>0</v>
      </c>
      <c r="P102" s="15"/>
      <c r="Q102" s="15"/>
      <c r="R102" s="15"/>
      <c r="S102" s="15"/>
      <c r="T102" s="52">
        <f t="shared" si="25"/>
        <v>0</v>
      </c>
      <c r="U102" s="15"/>
      <c r="V102" s="6"/>
    </row>
    <row r="103" spans="1:22" s="59" customFormat="1" ht="18.75" customHeight="1" hidden="1">
      <c r="A103" s="260"/>
      <c r="B103" s="1"/>
      <c r="C103" s="1"/>
      <c r="D103" s="2"/>
      <c r="E103" s="2"/>
      <c r="F103" s="2"/>
      <c r="G103" s="23"/>
      <c r="H103" s="15"/>
      <c r="I103" s="420"/>
      <c r="J103" s="15"/>
      <c r="K103" s="15"/>
      <c r="L103" s="15"/>
      <c r="M103" s="15"/>
      <c r="N103" s="15"/>
      <c r="O103" s="15">
        <f t="shared" si="24"/>
        <v>0</v>
      </c>
      <c r="P103" s="15"/>
      <c r="Q103" s="15"/>
      <c r="R103" s="15"/>
      <c r="S103" s="15"/>
      <c r="T103" s="52">
        <f t="shared" si="25"/>
        <v>0</v>
      </c>
      <c r="U103" s="15"/>
      <c r="V103" s="6"/>
    </row>
    <row r="104" spans="1:22" s="59" customFormat="1" ht="18.75" customHeight="1" hidden="1">
      <c r="A104" s="260"/>
      <c r="B104" s="1"/>
      <c r="C104" s="1"/>
      <c r="D104" s="2"/>
      <c r="E104" s="2"/>
      <c r="F104" s="2"/>
      <c r="G104" s="23"/>
      <c r="H104" s="15"/>
      <c r="I104" s="420"/>
      <c r="J104" s="15"/>
      <c r="K104" s="15"/>
      <c r="L104" s="15"/>
      <c r="M104" s="15"/>
      <c r="N104" s="15"/>
      <c r="O104" s="15">
        <f t="shared" si="24"/>
        <v>0</v>
      </c>
      <c r="P104" s="15"/>
      <c r="Q104" s="15"/>
      <c r="R104" s="15"/>
      <c r="S104" s="15"/>
      <c r="T104" s="52">
        <f t="shared" si="25"/>
        <v>0</v>
      </c>
      <c r="U104" s="15"/>
      <c r="V104" s="6"/>
    </row>
    <row r="105" spans="1:22" s="59" customFormat="1" ht="18.75" customHeight="1" hidden="1">
      <c r="A105" s="260"/>
      <c r="B105" s="1"/>
      <c r="C105" s="1"/>
      <c r="D105" s="2"/>
      <c r="E105" s="2"/>
      <c r="F105" s="2"/>
      <c r="G105" s="23"/>
      <c r="H105" s="15"/>
      <c r="I105" s="420"/>
      <c r="J105" s="15"/>
      <c r="K105" s="15"/>
      <c r="L105" s="15"/>
      <c r="M105" s="15"/>
      <c r="N105" s="15"/>
      <c r="O105" s="15">
        <f t="shared" si="24"/>
        <v>0</v>
      </c>
      <c r="P105" s="15"/>
      <c r="Q105" s="15"/>
      <c r="R105" s="15"/>
      <c r="S105" s="15"/>
      <c r="T105" s="52">
        <f t="shared" si="25"/>
        <v>0</v>
      </c>
      <c r="U105" s="15"/>
      <c r="V105" s="6"/>
    </row>
    <row r="106" spans="1:22" s="59" customFormat="1" ht="18.75" customHeight="1" hidden="1">
      <c r="A106" s="260"/>
      <c r="B106" s="1"/>
      <c r="C106" s="1"/>
      <c r="D106" s="2"/>
      <c r="E106" s="2"/>
      <c r="F106" s="2"/>
      <c r="G106" s="23"/>
      <c r="H106" s="15"/>
      <c r="I106" s="420"/>
      <c r="J106" s="15"/>
      <c r="K106" s="15"/>
      <c r="L106" s="15"/>
      <c r="M106" s="15"/>
      <c r="N106" s="15"/>
      <c r="O106" s="15">
        <f t="shared" si="24"/>
        <v>0</v>
      </c>
      <c r="P106" s="15"/>
      <c r="Q106" s="15"/>
      <c r="R106" s="15"/>
      <c r="S106" s="15"/>
      <c r="T106" s="52">
        <f t="shared" si="25"/>
        <v>0</v>
      </c>
      <c r="U106" s="15"/>
      <c r="V106" s="6"/>
    </row>
    <row r="107" spans="1:22" s="59" customFormat="1" ht="18.75" customHeight="1" hidden="1">
      <c r="A107" s="260"/>
      <c r="B107" s="1"/>
      <c r="C107" s="1"/>
      <c r="D107" s="2"/>
      <c r="E107" s="2"/>
      <c r="F107" s="2"/>
      <c r="G107" s="23"/>
      <c r="H107" s="15"/>
      <c r="I107" s="420"/>
      <c r="J107" s="15"/>
      <c r="K107" s="15"/>
      <c r="L107" s="15"/>
      <c r="M107" s="15"/>
      <c r="N107" s="15"/>
      <c r="O107" s="15">
        <f t="shared" si="24"/>
        <v>0</v>
      </c>
      <c r="P107" s="15"/>
      <c r="Q107" s="15"/>
      <c r="R107" s="15"/>
      <c r="S107" s="15"/>
      <c r="T107" s="52">
        <f t="shared" si="25"/>
        <v>0</v>
      </c>
      <c r="U107" s="15"/>
      <c r="V107" s="6"/>
    </row>
    <row r="108" spans="1:22" s="59" customFormat="1" ht="18.75" customHeight="1" hidden="1">
      <c r="A108" s="260"/>
      <c r="B108" s="1"/>
      <c r="C108" s="1"/>
      <c r="D108" s="2"/>
      <c r="E108" s="2"/>
      <c r="F108" s="2"/>
      <c r="G108" s="23"/>
      <c r="H108" s="15"/>
      <c r="I108" s="420"/>
      <c r="J108" s="15"/>
      <c r="K108" s="15"/>
      <c r="L108" s="15"/>
      <c r="M108" s="15"/>
      <c r="N108" s="15"/>
      <c r="O108" s="15">
        <f t="shared" si="24"/>
        <v>0</v>
      </c>
      <c r="P108" s="15"/>
      <c r="Q108" s="15"/>
      <c r="R108" s="15"/>
      <c r="S108" s="15"/>
      <c r="T108" s="52">
        <f t="shared" si="25"/>
        <v>0</v>
      </c>
      <c r="U108" s="15"/>
      <c r="V108" s="6"/>
    </row>
    <row r="109" spans="1:22" s="59" customFormat="1" ht="18.75" customHeight="1" hidden="1">
      <c r="A109" s="260"/>
      <c r="B109" s="1"/>
      <c r="C109" s="1"/>
      <c r="D109" s="2"/>
      <c r="E109" s="2"/>
      <c r="F109" s="2"/>
      <c r="G109" s="23"/>
      <c r="H109" s="15"/>
      <c r="I109" s="420"/>
      <c r="J109" s="15"/>
      <c r="K109" s="15"/>
      <c r="L109" s="15"/>
      <c r="M109" s="15"/>
      <c r="N109" s="15"/>
      <c r="O109" s="15">
        <f t="shared" si="24"/>
        <v>0</v>
      </c>
      <c r="P109" s="15"/>
      <c r="Q109" s="15"/>
      <c r="R109" s="15"/>
      <c r="S109" s="15"/>
      <c r="T109" s="52">
        <f t="shared" si="25"/>
        <v>0</v>
      </c>
      <c r="U109" s="15"/>
      <c r="V109" s="6"/>
    </row>
    <row r="110" spans="1:22" s="59" customFormat="1" ht="18.75" customHeight="1" hidden="1">
      <c r="A110" s="260"/>
      <c r="B110" s="1"/>
      <c r="C110" s="1"/>
      <c r="D110" s="2"/>
      <c r="E110" s="2"/>
      <c r="F110" s="2"/>
      <c r="G110" s="23"/>
      <c r="H110" s="15"/>
      <c r="I110" s="420"/>
      <c r="J110" s="15"/>
      <c r="K110" s="15"/>
      <c r="L110" s="15"/>
      <c r="M110" s="15"/>
      <c r="N110" s="15"/>
      <c r="O110" s="15">
        <f t="shared" si="24"/>
        <v>0</v>
      </c>
      <c r="P110" s="15"/>
      <c r="Q110" s="15"/>
      <c r="R110" s="15"/>
      <c r="S110" s="15"/>
      <c r="T110" s="52">
        <f t="shared" si="25"/>
        <v>0</v>
      </c>
      <c r="U110" s="15"/>
      <c r="V110" s="6"/>
    </row>
    <row r="111" spans="1:22" s="59" customFormat="1" ht="18.75" customHeight="1" hidden="1">
      <c r="A111" s="260"/>
      <c r="B111" s="1"/>
      <c r="C111" s="1"/>
      <c r="D111" s="2"/>
      <c r="E111" s="2"/>
      <c r="F111" s="2"/>
      <c r="G111" s="23"/>
      <c r="H111" s="15"/>
      <c r="I111" s="420"/>
      <c r="J111" s="15"/>
      <c r="K111" s="15"/>
      <c r="L111" s="15"/>
      <c r="M111" s="15"/>
      <c r="N111" s="15"/>
      <c r="O111" s="15">
        <f t="shared" si="24"/>
        <v>0</v>
      </c>
      <c r="P111" s="15"/>
      <c r="Q111" s="15"/>
      <c r="R111" s="15"/>
      <c r="S111" s="15"/>
      <c r="T111" s="52">
        <f t="shared" si="25"/>
        <v>0</v>
      </c>
      <c r="U111" s="15"/>
      <c r="V111" s="6"/>
    </row>
    <row r="112" spans="1:22" s="59" customFormat="1" ht="18.75" customHeight="1" hidden="1">
      <c r="A112" s="260"/>
      <c r="B112" s="1"/>
      <c r="C112" s="1"/>
      <c r="D112" s="2"/>
      <c r="E112" s="2"/>
      <c r="F112" s="2"/>
      <c r="G112" s="23"/>
      <c r="H112" s="15"/>
      <c r="I112" s="420"/>
      <c r="J112" s="15"/>
      <c r="K112" s="15"/>
      <c r="L112" s="15"/>
      <c r="M112" s="15"/>
      <c r="N112" s="15"/>
      <c r="O112" s="15">
        <f t="shared" si="24"/>
        <v>0</v>
      </c>
      <c r="P112" s="15"/>
      <c r="Q112" s="15"/>
      <c r="R112" s="15"/>
      <c r="S112" s="15"/>
      <c r="T112" s="52">
        <f t="shared" si="25"/>
        <v>0</v>
      </c>
      <c r="U112" s="15"/>
      <c r="V112" s="6"/>
    </row>
    <row r="113" spans="1:22" s="59" customFormat="1" ht="18.75" customHeight="1" hidden="1">
      <c r="A113" s="260"/>
      <c r="B113" s="1"/>
      <c r="C113" s="1"/>
      <c r="D113" s="2"/>
      <c r="E113" s="2"/>
      <c r="F113" s="2"/>
      <c r="G113" s="23"/>
      <c r="H113" s="15"/>
      <c r="I113" s="420"/>
      <c r="J113" s="15"/>
      <c r="K113" s="15"/>
      <c r="L113" s="15"/>
      <c r="M113" s="15"/>
      <c r="N113" s="15"/>
      <c r="O113" s="15">
        <f t="shared" si="24"/>
        <v>0</v>
      </c>
      <c r="P113" s="15"/>
      <c r="Q113" s="15"/>
      <c r="R113" s="15"/>
      <c r="S113" s="15"/>
      <c r="T113" s="52">
        <f t="shared" si="25"/>
        <v>0</v>
      </c>
      <c r="U113" s="15"/>
      <c r="V113" s="6"/>
    </row>
    <row r="114" spans="1:22" s="59" customFormat="1" ht="18.75" customHeight="1" hidden="1">
      <c r="A114" s="260"/>
      <c r="B114" s="1"/>
      <c r="C114" s="1"/>
      <c r="D114" s="2"/>
      <c r="E114" s="2"/>
      <c r="F114" s="2"/>
      <c r="G114" s="23"/>
      <c r="H114" s="15"/>
      <c r="I114" s="420"/>
      <c r="J114" s="15"/>
      <c r="K114" s="15"/>
      <c r="L114" s="15"/>
      <c r="M114" s="15"/>
      <c r="N114" s="15"/>
      <c r="O114" s="15">
        <f t="shared" si="24"/>
        <v>0</v>
      </c>
      <c r="P114" s="15"/>
      <c r="Q114" s="15"/>
      <c r="R114" s="15"/>
      <c r="S114" s="15"/>
      <c r="T114" s="52">
        <f t="shared" si="25"/>
        <v>0</v>
      </c>
      <c r="U114" s="15"/>
      <c r="V114" s="6"/>
    </row>
    <row r="115" spans="1:22" s="59" customFormat="1" ht="18.75" customHeight="1" hidden="1">
      <c r="A115" s="260"/>
      <c r="B115" s="1"/>
      <c r="C115" s="1"/>
      <c r="D115" s="2"/>
      <c r="E115" s="2"/>
      <c r="F115" s="2"/>
      <c r="G115" s="23"/>
      <c r="H115" s="15"/>
      <c r="I115" s="420"/>
      <c r="J115" s="15"/>
      <c r="K115" s="15"/>
      <c r="L115" s="15"/>
      <c r="M115" s="15"/>
      <c r="N115" s="15"/>
      <c r="O115" s="15">
        <f t="shared" si="24"/>
        <v>0</v>
      </c>
      <c r="P115" s="15"/>
      <c r="Q115" s="15"/>
      <c r="R115" s="15"/>
      <c r="S115" s="15"/>
      <c r="T115" s="52">
        <f t="shared" si="25"/>
        <v>0</v>
      </c>
      <c r="U115" s="15"/>
      <c r="V115" s="6"/>
    </row>
    <row r="116" spans="1:22" s="60" customFormat="1" ht="18.75" customHeight="1" hidden="1">
      <c r="A116" s="260"/>
      <c r="B116" s="16"/>
      <c r="C116" s="16"/>
      <c r="D116" s="17"/>
      <c r="E116" s="17"/>
      <c r="F116" s="17"/>
      <c r="G116" s="18"/>
      <c r="H116" s="19"/>
      <c r="I116" s="421"/>
      <c r="J116" s="19"/>
      <c r="K116" s="19"/>
      <c r="L116" s="19"/>
      <c r="M116" s="19"/>
      <c r="N116" s="19"/>
      <c r="O116" s="19">
        <f t="shared" si="24"/>
        <v>0</v>
      </c>
      <c r="P116" s="19"/>
      <c r="Q116" s="19"/>
      <c r="R116" s="19"/>
      <c r="S116" s="19"/>
      <c r="T116" s="52">
        <f t="shared" si="25"/>
        <v>0</v>
      </c>
      <c r="U116" s="19"/>
      <c r="V116" s="22"/>
    </row>
    <row r="117" spans="1:22" s="59" customFormat="1" ht="18.75" customHeight="1" hidden="1">
      <c r="A117" s="260"/>
      <c r="B117" s="1"/>
      <c r="C117" s="1" t="str">
        <f>'ING.MATRIZ'!C109</f>
        <v>180</v>
      </c>
      <c r="D117" s="1"/>
      <c r="E117" s="1"/>
      <c r="F117" s="1"/>
      <c r="G117" s="13" t="str">
        <f>'ING.MATRIZ'!G109</f>
        <v>DONACIONES CORRIENTES</v>
      </c>
      <c r="H117" s="4">
        <f aca="true" t="shared" si="36" ref="H117:N117">H118+H121</f>
        <v>0</v>
      </c>
      <c r="I117" s="419">
        <f t="shared" si="36"/>
        <v>0</v>
      </c>
      <c r="J117" s="4">
        <f t="shared" si="36"/>
        <v>0</v>
      </c>
      <c r="K117" s="4">
        <f t="shared" si="36"/>
        <v>0</v>
      </c>
      <c r="L117" s="4">
        <f t="shared" si="36"/>
        <v>0</v>
      </c>
      <c r="M117" s="4">
        <f t="shared" si="36"/>
        <v>0</v>
      </c>
      <c r="N117" s="4">
        <f t="shared" si="36"/>
        <v>0</v>
      </c>
      <c r="O117" s="4">
        <f t="shared" si="24"/>
        <v>0</v>
      </c>
      <c r="P117" s="4">
        <f>P118+P121</f>
        <v>0</v>
      </c>
      <c r="Q117" s="4">
        <f>Q118+Q121</f>
        <v>0</v>
      </c>
      <c r="R117" s="4"/>
      <c r="S117" s="4"/>
      <c r="T117" s="52">
        <f t="shared" si="25"/>
        <v>0</v>
      </c>
      <c r="U117" s="4" t="e">
        <f>#REF!+#REF!+#REF!</f>
        <v>#REF!</v>
      </c>
      <c r="V117" s="6" t="e">
        <f>U117*100/J117</f>
        <v>#REF!</v>
      </c>
    </row>
    <row r="118" spans="1:22" s="59" customFormat="1" ht="18.75" customHeight="1" hidden="1">
      <c r="A118" s="260"/>
      <c r="B118" s="1"/>
      <c r="C118" s="1"/>
      <c r="D118" s="1" t="str">
        <f>'ING.MATRIZ'!D110</f>
        <v>181</v>
      </c>
      <c r="E118" s="1"/>
      <c r="F118" s="1"/>
      <c r="G118" s="13" t="str">
        <f>'ING.MATRIZ'!G110</f>
        <v>Donaciones Nacionales</v>
      </c>
      <c r="H118" s="4">
        <f aca="true" t="shared" si="37" ref="H118:N118">H119</f>
        <v>0</v>
      </c>
      <c r="I118" s="419">
        <f t="shared" si="37"/>
        <v>0</v>
      </c>
      <c r="J118" s="4">
        <f t="shared" si="37"/>
        <v>0</v>
      </c>
      <c r="K118" s="4">
        <f t="shared" si="37"/>
        <v>0</v>
      </c>
      <c r="L118" s="4">
        <f t="shared" si="37"/>
        <v>0</v>
      </c>
      <c r="M118" s="4">
        <f t="shared" si="37"/>
        <v>0</v>
      </c>
      <c r="N118" s="4">
        <f t="shared" si="37"/>
        <v>0</v>
      </c>
      <c r="O118" s="4">
        <f t="shared" si="24"/>
        <v>0</v>
      </c>
      <c r="P118" s="4">
        <f>P119</f>
        <v>0</v>
      </c>
      <c r="Q118" s="4">
        <f>Q119</f>
        <v>0</v>
      </c>
      <c r="R118" s="4"/>
      <c r="S118" s="4"/>
      <c r="T118" s="52">
        <f t="shared" si="25"/>
        <v>0</v>
      </c>
      <c r="U118" s="4" t="e">
        <f>#REF!+#REF!+#REF!</f>
        <v>#REF!</v>
      </c>
      <c r="V118" s="6" t="e">
        <f>U118*100/J118</f>
        <v>#REF!</v>
      </c>
    </row>
    <row r="119" spans="1:22" s="59" customFormat="1" ht="18.75" customHeight="1" hidden="1">
      <c r="A119" s="260"/>
      <c r="B119" s="2"/>
      <c r="C119" s="2"/>
      <c r="D119" s="2"/>
      <c r="E119" s="2"/>
      <c r="F119" s="2"/>
      <c r="G119" s="23"/>
      <c r="H119" s="15"/>
      <c r="I119" s="420"/>
      <c r="J119" s="15"/>
      <c r="K119" s="15"/>
      <c r="L119" s="15"/>
      <c r="M119" s="15"/>
      <c r="N119" s="15"/>
      <c r="O119" s="15">
        <f t="shared" si="24"/>
        <v>0</v>
      </c>
      <c r="P119" s="15"/>
      <c r="Q119" s="15"/>
      <c r="R119" s="15"/>
      <c r="S119" s="15"/>
      <c r="T119" s="52">
        <f t="shared" si="25"/>
        <v>0</v>
      </c>
      <c r="U119" s="15"/>
      <c r="V119" s="6"/>
    </row>
    <row r="120" spans="1:22" s="59" customFormat="1" ht="18.75" customHeight="1" hidden="1">
      <c r="A120" s="260"/>
      <c r="B120" s="2"/>
      <c r="C120" s="2"/>
      <c r="D120" s="2"/>
      <c r="E120" s="2"/>
      <c r="F120" s="2"/>
      <c r="G120" s="23"/>
      <c r="H120" s="15"/>
      <c r="I120" s="420"/>
      <c r="J120" s="15"/>
      <c r="K120" s="15"/>
      <c r="L120" s="15"/>
      <c r="M120" s="15"/>
      <c r="N120" s="15"/>
      <c r="O120" s="15">
        <f t="shared" si="24"/>
        <v>0</v>
      </c>
      <c r="P120" s="15"/>
      <c r="Q120" s="15"/>
      <c r="R120" s="15"/>
      <c r="S120" s="15"/>
      <c r="T120" s="52">
        <f t="shared" si="25"/>
        <v>0</v>
      </c>
      <c r="U120" s="15"/>
      <c r="V120" s="6"/>
    </row>
    <row r="121" spans="1:22" s="59" customFormat="1" ht="18.75" customHeight="1" hidden="1">
      <c r="A121" s="260"/>
      <c r="B121" s="1"/>
      <c r="C121" s="1"/>
      <c r="D121" s="1" t="str">
        <f>'ING.MATRIZ'!D113</f>
        <v>182</v>
      </c>
      <c r="E121" s="1"/>
      <c r="F121" s="1"/>
      <c r="G121" s="13" t="str">
        <f>'ING.MATRIZ'!G113</f>
        <v>Donaciones del Exterior</v>
      </c>
      <c r="H121" s="4">
        <f aca="true" t="shared" si="38" ref="H121:N121">H122</f>
        <v>0</v>
      </c>
      <c r="I121" s="419">
        <f t="shared" si="38"/>
        <v>0</v>
      </c>
      <c r="J121" s="4">
        <f t="shared" si="38"/>
        <v>0</v>
      </c>
      <c r="K121" s="4">
        <f t="shared" si="38"/>
        <v>0</v>
      </c>
      <c r="L121" s="4">
        <f t="shared" si="38"/>
        <v>0</v>
      </c>
      <c r="M121" s="4">
        <f t="shared" si="38"/>
        <v>0</v>
      </c>
      <c r="N121" s="4">
        <f t="shared" si="38"/>
        <v>0</v>
      </c>
      <c r="O121" s="4">
        <f t="shared" si="24"/>
        <v>0</v>
      </c>
      <c r="P121" s="4">
        <f>P122</f>
        <v>0</v>
      </c>
      <c r="Q121" s="4">
        <f>Q122</f>
        <v>0</v>
      </c>
      <c r="R121" s="4"/>
      <c r="S121" s="4"/>
      <c r="T121" s="52">
        <f t="shared" si="25"/>
        <v>0</v>
      </c>
      <c r="U121" s="4" t="e">
        <f>#REF!+#REF!+#REF!</f>
        <v>#REF!</v>
      </c>
      <c r="V121" s="6" t="e">
        <f>U121*100/J121</f>
        <v>#REF!</v>
      </c>
    </row>
    <row r="122" spans="1:22" s="59" customFormat="1" ht="18.75" customHeight="1" hidden="1">
      <c r="A122" s="260"/>
      <c r="B122" s="2"/>
      <c r="C122" s="2"/>
      <c r="D122" s="2"/>
      <c r="E122" s="2"/>
      <c r="F122" s="2"/>
      <c r="G122" s="23"/>
      <c r="H122" s="15"/>
      <c r="I122" s="420"/>
      <c r="J122" s="15"/>
      <c r="K122" s="15"/>
      <c r="L122" s="15"/>
      <c r="M122" s="15"/>
      <c r="N122" s="15"/>
      <c r="O122" s="15">
        <f t="shared" si="24"/>
        <v>0</v>
      </c>
      <c r="P122" s="15"/>
      <c r="Q122" s="15"/>
      <c r="R122" s="15"/>
      <c r="S122" s="15"/>
      <c r="T122" s="52">
        <f t="shared" si="25"/>
        <v>0</v>
      </c>
      <c r="U122" s="15"/>
      <c r="V122" s="6"/>
    </row>
    <row r="123" spans="1:22" s="60" customFormat="1" ht="18.75" customHeight="1" hidden="1">
      <c r="A123" s="260"/>
      <c r="B123" s="17"/>
      <c r="C123" s="17"/>
      <c r="D123" s="17"/>
      <c r="E123" s="17"/>
      <c r="F123" s="17"/>
      <c r="G123" s="18"/>
      <c r="H123" s="19"/>
      <c r="I123" s="421"/>
      <c r="J123" s="19"/>
      <c r="K123" s="19"/>
      <c r="L123" s="19"/>
      <c r="M123" s="19"/>
      <c r="N123" s="19"/>
      <c r="O123" s="19">
        <f t="shared" si="24"/>
        <v>0</v>
      </c>
      <c r="P123" s="19"/>
      <c r="Q123" s="19"/>
      <c r="R123" s="19"/>
      <c r="S123" s="19"/>
      <c r="T123" s="52">
        <f t="shared" si="25"/>
        <v>0</v>
      </c>
      <c r="U123" s="19"/>
      <c r="V123" s="22"/>
    </row>
    <row r="124" spans="1:22" s="59" customFormat="1" ht="18.75" customHeight="1" hidden="1">
      <c r="A124" s="260"/>
      <c r="B124" s="1"/>
      <c r="C124" s="1" t="str">
        <f>'ING.MATRIZ'!C116</f>
        <v>190</v>
      </c>
      <c r="D124" s="1"/>
      <c r="E124" s="1"/>
      <c r="F124" s="1"/>
      <c r="G124" s="13" t="str">
        <f>'ING.MATRIZ'!G116</f>
        <v>OTROS RECURSOS CORRIENTES</v>
      </c>
      <c r="H124" s="4">
        <f aca="true" t="shared" si="39" ref="H124:N124">H125</f>
        <v>0</v>
      </c>
      <c r="I124" s="419">
        <f t="shared" si="39"/>
        <v>0</v>
      </c>
      <c r="J124" s="4">
        <f t="shared" si="39"/>
        <v>0</v>
      </c>
      <c r="K124" s="4">
        <f t="shared" si="39"/>
        <v>0</v>
      </c>
      <c r="L124" s="4">
        <f t="shared" si="39"/>
        <v>0</v>
      </c>
      <c r="M124" s="4">
        <f t="shared" si="39"/>
        <v>0</v>
      </c>
      <c r="N124" s="4">
        <f t="shared" si="39"/>
        <v>0</v>
      </c>
      <c r="O124" s="4">
        <f t="shared" si="24"/>
        <v>0</v>
      </c>
      <c r="P124" s="4">
        <f>P125</f>
        <v>0</v>
      </c>
      <c r="Q124" s="4">
        <f>Q125</f>
        <v>0</v>
      </c>
      <c r="R124" s="4"/>
      <c r="S124" s="4"/>
      <c r="T124" s="52">
        <f t="shared" si="25"/>
        <v>0</v>
      </c>
      <c r="U124" s="4" t="e">
        <f>#REF!+#REF!+#REF!</f>
        <v>#REF!</v>
      </c>
      <c r="V124" s="6" t="e">
        <f>U124*100/J124</f>
        <v>#REF!</v>
      </c>
    </row>
    <row r="125" spans="1:22" s="59" customFormat="1" ht="18.75" customHeight="1" hidden="1">
      <c r="A125" s="260"/>
      <c r="B125" s="1"/>
      <c r="C125" s="1"/>
      <c r="D125" s="1" t="str">
        <f>'ING.MATRIZ'!D117</f>
        <v>191</v>
      </c>
      <c r="E125" s="1"/>
      <c r="F125" s="1"/>
      <c r="G125" s="13" t="str">
        <f>'ING.MATRIZ'!G117</f>
        <v>Otros Recursos</v>
      </c>
      <c r="H125" s="4">
        <f aca="true" t="shared" si="40" ref="H125:N125">SUM(H126:H127)</f>
        <v>0</v>
      </c>
      <c r="I125" s="419">
        <f t="shared" si="40"/>
        <v>0</v>
      </c>
      <c r="J125" s="4">
        <f t="shared" si="40"/>
        <v>0</v>
      </c>
      <c r="K125" s="4">
        <f t="shared" si="40"/>
        <v>0</v>
      </c>
      <c r="L125" s="4">
        <f t="shared" si="40"/>
        <v>0</v>
      </c>
      <c r="M125" s="4">
        <f t="shared" si="40"/>
        <v>0</v>
      </c>
      <c r="N125" s="4">
        <f t="shared" si="40"/>
        <v>0</v>
      </c>
      <c r="O125" s="4">
        <f t="shared" si="24"/>
        <v>0</v>
      </c>
      <c r="P125" s="4">
        <f>SUM(P126:P127)</f>
        <v>0</v>
      </c>
      <c r="Q125" s="4">
        <f>SUM(Q126:Q127)</f>
        <v>0</v>
      </c>
      <c r="R125" s="4"/>
      <c r="S125" s="4"/>
      <c r="T125" s="52">
        <f t="shared" si="25"/>
        <v>0</v>
      </c>
      <c r="U125" s="4" t="e">
        <f>#REF!+#REF!+#REF!</f>
        <v>#REF!</v>
      </c>
      <c r="V125" s="6" t="e">
        <f>U125*100/J125</f>
        <v>#REF!</v>
      </c>
    </row>
    <row r="126" spans="1:22" s="59" customFormat="1" ht="18.75" customHeight="1" hidden="1">
      <c r="A126" s="260"/>
      <c r="B126" s="2"/>
      <c r="C126" s="2"/>
      <c r="D126" s="2"/>
      <c r="E126" s="2"/>
      <c r="F126" s="2"/>
      <c r="G126" s="23"/>
      <c r="H126" s="15"/>
      <c r="I126" s="420"/>
      <c r="J126" s="15"/>
      <c r="K126" s="15"/>
      <c r="L126" s="15"/>
      <c r="M126" s="15"/>
      <c r="N126" s="15"/>
      <c r="O126" s="15">
        <f t="shared" si="24"/>
        <v>0</v>
      </c>
      <c r="P126" s="15"/>
      <c r="Q126" s="15"/>
      <c r="R126" s="15"/>
      <c r="S126" s="15"/>
      <c r="T126" s="52">
        <f t="shared" si="25"/>
        <v>0</v>
      </c>
      <c r="U126" s="15"/>
      <c r="V126" s="6"/>
    </row>
    <row r="127" spans="1:22" s="59" customFormat="1" ht="18.75" customHeight="1" hidden="1">
      <c r="A127" s="260"/>
      <c r="B127" s="2"/>
      <c r="C127" s="2"/>
      <c r="D127" s="2"/>
      <c r="E127" s="2"/>
      <c r="F127" s="2"/>
      <c r="G127" s="23"/>
      <c r="H127" s="15"/>
      <c r="I127" s="420"/>
      <c r="J127" s="15"/>
      <c r="K127" s="15"/>
      <c r="L127" s="15"/>
      <c r="M127" s="15"/>
      <c r="N127" s="15"/>
      <c r="O127" s="15">
        <f t="shared" si="24"/>
        <v>0</v>
      </c>
      <c r="P127" s="15"/>
      <c r="Q127" s="15"/>
      <c r="R127" s="15"/>
      <c r="S127" s="15"/>
      <c r="T127" s="52">
        <f t="shared" si="25"/>
        <v>0</v>
      </c>
      <c r="U127" s="15"/>
      <c r="V127" s="6"/>
    </row>
    <row r="128" spans="1:22" s="60" customFormat="1" ht="18">
      <c r="A128" s="260"/>
      <c r="B128" s="17"/>
      <c r="C128" s="17"/>
      <c r="D128" s="17"/>
      <c r="E128" s="17"/>
      <c r="F128" s="17"/>
      <c r="G128" s="18"/>
      <c r="H128" s="296"/>
      <c r="I128" s="421"/>
      <c r="J128" s="19"/>
      <c r="K128" s="19"/>
      <c r="L128" s="19"/>
      <c r="M128" s="19"/>
      <c r="N128" s="19"/>
      <c r="O128" s="19">
        <f t="shared" si="24"/>
        <v>0</v>
      </c>
      <c r="P128" s="19"/>
      <c r="Q128" s="19"/>
      <c r="R128" s="19"/>
      <c r="S128" s="19"/>
      <c r="T128" s="52">
        <f t="shared" si="25"/>
        <v>0</v>
      </c>
      <c r="U128" s="19"/>
      <c r="V128" s="22"/>
    </row>
    <row r="129" spans="1:22" ht="17.25">
      <c r="A129" s="33"/>
      <c r="B129" s="9">
        <f>'ING.MATRIZ'!B121</f>
        <v>200</v>
      </c>
      <c r="C129" s="9"/>
      <c r="D129" s="9"/>
      <c r="E129" s="9"/>
      <c r="F129" s="9"/>
      <c r="G129" s="37" t="str">
        <f>'ING.MATRIZ'!G121</f>
        <v>INGRESOS DE CAPITAL</v>
      </c>
      <c r="H129" s="34">
        <f aca="true" t="shared" si="41" ref="H129:M129">H130+H135+H144</f>
        <v>985070343</v>
      </c>
      <c r="I129" s="34">
        <f t="shared" si="41"/>
        <v>30309856</v>
      </c>
      <c r="J129" s="34">
        <f>J130+J135+J144</f>
        <v>1015380199</v>
      </c>
      <c r="K129" s="34">
        <f t="shared" si="41"/>
        <v>264666532</v>
      </c>
      <c r="L129" s="34">
        <f t="shared" si="41"/>
        <v>0</v>
      </c>
      <c r="M129" s="34">
        <f t="shared" si="41"/>
        <v>332417639</v>
      </c>
      <c r="N129" s="34">
        <f aca="true" t="shared" si="42" ref="N129:S129">N130+N135+N144</f>
        <v>0</v>
      </c>
      <c r="O129" s="34">
        <f t="shared" si="24"/>
        <v>597084171</v>
      </c>
      <c r="P129" s="34">
        <f t="shared" si="42"/>
        <v>0</v>
      </c>
      <c r="Q129" s="34">
        <f t="shared" si="42"/>
        <v>0</v>
      </c>
      <c r="R129" s="34">
        <f t="shared" si="42"/>
        <v>382590828</v>
      </c>
      <c r="S129" s="34">
        <f t="shared" si="42"/>
        <v>77076305</v>
      </c>
      <c r="T129" s="52">
        <f t="shared" si="25"/>
        <v>1056751304</v>
      </c>
      <c r="U129" s="34">
        <f>+U135</f>
        <v>1056751304</v>
      </c>
      <c r="V129" s="36">
        <f>U129*100/J129</f>
        <v>104.07444472924963</v>
      </c>
    </row>
    <row r="130" spans="1:22" s="59" customFormat="1" ht="18.75" customHeight="1" hidden="1">
      <c r="A130" s="260"/>
      <c r="B130" s="1"/>
      <c r="C130" s="1">
        <f>'ING.MATRIZ'!C122</f>
        <v>210</v>
      </c>
      <c r="D130" s="1"/>
      <c r="E130" s="1"/>
      <c r="F130" s="1"/>
      <c r="G130" s="13" t="str">
        <f>'ING.MATRIZ'!G122</f>
        <v>VENTAS DE ACTIVOS</v>
      </c>
      <c r="H130" s="4">
        <f aca="true" t="shared" si="43" ref="H130:S130">H131</f>
        <v>0</v>
      </c>
      <c r="I130" s="4">
        <f t="shared" si="43"/>
        <v>0</v>
      </c>
      <c r="J130" s="4">
        <f t="shared" si="43"/>
        <v>0</v>
      </c>
      <c r="K130" s="4">
        <f t="shared" si="43"/>
        <v>0</v>
      </c>
      <c r="L130" s="4">
        <f t="shared" si="43"/>
        <v>0</v>
      </c>
      <c r="M130" s="4">
        <f t="shared" si="43"/>
        <v>0</v>
      </c>
      <c r="N130" s="4">
        <f t="shared" si="43"/>
        <v>0</v>
      </c>
      <c r="O130" s="4">
        <f t="shared" si="24"/>
        <v>0</v>
      </c>
      <c r="P130" s="4">
        <f t="shared" si="43"/>
        <v>0</v>
      </c>
      <c r="Q130" s="4">
        <f t="shared" si="43"/>
        <v>0</v>
      </c>
      <c r="R130" s="4">
        <f t="shared" si="43"/>
        <v>0</v>
      </c>
      <c r="S130" s="4">
        <f t="shared" si="43"/>
        <v>0</v>
      </c>
      <c r="T130" s="52">
        <f t="shared" si="25"/>
        <v>0</v>
      </c>
      <c r="U130" s="4" t="e">
        <f>#REF!+#REF!+#REF!</f>
        <v>#REF!</v>
      </c>
      <c r="V130" s="6" t="e">
        <f>U130*100/J130</f>
        <v>#REF!</v>
      </c>
    </row>
    <row r="131" spans="1:22" s="59" customFormat="1" ht="18.75" customHeight="1" hidden="1">
      <c r="A131" s="260"/>
      <c r="B131" s="1"/>
      <c r="C131" s="1"/>
      <c r="D131" s="1">
        <f>'ING.MATRIZ'!D123</f>
        <v>211</v>
      </c>
      <c r="E131" s="2"/>
      <c r="F131" s="2"/>
      <c r="G131" s="13" t="str">
        <f>'ING.MATRIZ'!G123</f>
        <v>Ventas de Activos de Capital</v>
      </c>
      <c r="H131" s="4">
        <f aca="true" t="shared" si="44" ref="H131:M131">SUM(H132:H133)</f>
        <v>0</v>
      </c>
      <c r="I131" s="4">
        <f t="shared" si="44"/>
        <v>0</v>
      </c>
      <c r="J131" s="4">
        <f t="shared" si="44"/>
        <v>0</v>
      </c>
      <c r="K131" s="4">
        <f t="shared" si="44"/>
        <v>0</v>
      </c>
      <c r="L131" s="4">
        <f t="shared" si="44"/>
        <v>0</v>
      </c>
      <c r="M131" s="4">
        <f t="shared" si="44"/>
        <v>0</v>
      </c>
      <c r="N131" s="4">
        <f aca="true" t="shared" si="45" ref="N131:S131">SUM(N132:N133)</f>
        <v>0</v>
      </c>
      <c r="O131" s="4">
        <f t="shared" si="24"/>
        <v>0</v>
      </c>
      <c r="P131" s="4">
        <f t="shared" si="45"/>
        <v>0</v>
      </c>
      <c r="Q131" s="4">
        <f t="shared" si="45"/>
        <v>0</v>
      </c>
      <c r="R131" s="4">
        <f t="shared" si="45"/>
        <v>0</v>
      </c>
      <c r="S131" s="4">
        <f t="shared" si="45"/>
        <v>0</v>
      </c>
      <c r="T131" s="52">
        <f t="shared" si="25"/>
        <v>0</v>
      </c>
      <c r="U131" s="4" t="e">
        <f>#REF!+#REF!+#REF!</f>
        <v>#REF!</v>
      </c>
      <c r="V131" s="6" t="e">
        <f>U131*100/J131</f>
        <v>#REF!</v>
      </c>
    </row>
    <row r="132" spans="1:22" s="59" customFormat="1" ht="18.75" customHeight="1" hidden="1">
      <c r="A132" s="260"/>
      <c r="B132" s="2"/>
      <c r="C132" s="2"/>
      <c r="D132" s="2"/>
      <c r="E132" s="2"/>
      <c r="F132" s="2"/>
      <c r="G132" s="23"/>
      <c r="H132" s="15"/>
      <c r="I132" s="15"/>
      <c r="J132" s="15"/>
      <c r="K132" s="15"/>
      <c r="L132" s="15"/>
      <c r="M132" s="15"/>
      <c r="N132" s="15"/>
      <c r="O132" s="15">
        <f t="shared" si="24"/>
        <v>0</v>
      </c>
      <c r="P132" s="15"/>
      <c r="Q132" s="15"/>
      <c r="R132" s="15"/>
      <c r="S132" s="15"/>
      <c r="T132" s="52">
        <f t="shared" si="25"/>
        <v>0</v>
      </c>
      <c r="U132" s="15"/>
      <c r="V132" s="6"/>
    </row>
    <row r="133" spans="1:22" s="59" customFormat="1" ht="18.75" customHeight="1" hidden="1">
      <c r="A133" s="260"/>
      <c r="B133" s="2"/>
      <c r="C133" s="2"/>
      <c r="D133" s="2"/>
      <c r="E133" s="2"/>
      <c r="F133" s="2"/>
      <c r="G133" s="23"/>
      <c r="H133" s="15"/>
      <c r="I133" s="15"/>
      <c r="J133" s="15"/>
      <c r="K133" s="15"/>
      <c r="L133" s="15"/>
      <c r="M133" s="15"/>
      <c r="N133" s="15"/>
      <c r="O133" s="15">
        <f t="shared" si="24"/>
        <v>0</v>
      </c>
      <c r="P133" s="15"/>
      <c r="Q133" s="15"/>
      <c r="R133" s="15"/>
      <c r="S133" s="15"/>
      <c r="T133" s="52">
        <f t="shared" si="25"/>
        <v>0</v>
      </c>
      <c r="U133" s="15"/>
      <c r="V133" s="6"/>
    </row>
    <row r="134" spans="1:22" s="60" customFormat="1" ht="18.75" customHeight="1" hidden="1">
      <c r="A134" s="260"/>
      <c r="B134" s="17"/>
      <c r="C134" s="17"/>
      <c r="D134" s="17"/>
      <c r="E134" s="17"/>
      <c r="F134" s="17"/>
      <c r="G134" s="18"/>
      <c r="H134" s="19"/>
      <c r="I134" s="19"/>
      <c r="J134" s="19"/>
      <c r="K134" s="19"/>
      <c r="L134" s="19"/>
      <c r="M134" s="19"/>
      <c r="N134" s="19"/>
      <c r="O134" s="19">
        <f t="shared" si="24"/>
        <v>0</v>
      </c>
      <c r="P134" s="19"/>
      <c r="Q134" s="19"/>
      <c r="R134" s="19"/>
      <c r="S134" s="19"/>
      <c r="T134" s="52">
        <f t="shared" si="25"/>
        <v>0</v>
      </c>
      <c r="U134" s="19"/>
      <c r="V134" s="22"/>
    </row>
    <row r="135" spans="1:22" s="59" customFormat="1" ht="18">
      <c r="A135" s="260"/>
      <c r="B135" s="1"/>
      <c r="C135" s="1">
        <f>'ING.MATRIZ'!C127</f>
        <v>220</v>
      </c>
      <c r="D135" s="1"/>
      <c r="E135" s="1"/>
      <c r="F135" s="1"/>
      <c r="G135" s="13" t="str">
        <f>'ING.MATRIZ'!G127</f>
        <v>TRANSFERENCIAS DE CAPITAL</v>
      </c>
      <c r="H135" s="6">
        <f aca="true" t="shared" si="46" ref="H135:M135">H136+H141</f>
        <v>985070343</v>
      </c>
      <c r="I135" s="6">
        <f t="shared" si="46"/>
        <v>30309856</v>
      </c>
      <c r="J135" s="6">
        <f t="shared" si="46"/>
        <v>1015380199</v>
      </c>
      <c r="K135" s="6">
        <f t="shared" si="46"/>
        <v>264666532</v>
      </c>
      <c r="L135" s="6">
        <f t="shared" si="46"/>
        <v>0</v>
      </c>
      <c r="M135" s="6">
        <f t="shared" si="46"/>
        <v>332417639</v>
      </c>
      <c r="N135" s="6">
        <f aca="true" t="shared" si="47" ref="N135:S135">N136+N141</f>
        <v>0</v>
      </c>
      <c r="O135" s="6">
        <f t="shared" si="24"/>
        <v>597084171</v>
      </c>
      <c r="P135" s="6">
        <f t="shared" si="47"/>
        <v>0</v>
      </c>
      <c r="Q135" s="6">
        <f t="shared" si="47"/>
        <v>0</v>
      </c>
      <c r="R135" s="6">
        <f t="shared" si="47"/>
        <v>382590828</v>
      </c>
      <c r="S135" s="6">
        <f t="shared" si="47"/>
        <v>77076305</v>
      </c>
      <c r="T135" s="52">
        <f t="shared" si="25"/>
        <v>1056751304</v>
      </c>
      <c r="U135" s="4">
        <f>+U136</f>
        <v>1056751304</v>
      </c>
      <c r="V135" s="6">
        <f>U135*100/J135</f>
        <v>104.07444472924963</v>
      </c>
    </row>
    <row r="136" spans="1:22" s="59" customFormat="1" ht="24" customHeight="1">
      <c r="A136" s="260"/>
      <c r="B136" s="1"/>
      <c r="C136" s="1"/>
      <c r="D136" s="1">
        <f>'ING.MATRIZ'!D128</f>
        <v>223</v>
      </c>
      <c r="E136" s="1"/>
      <c r="F136" s="1"/>
      <c r="G136" s="29" t="str">
        <f>'ING.MATRIZ'!G128</f>
        <v>Transerencias Consolidables de Entidades y Organismos del Estado por Coparticipación</v>
      </c>
      <c r="H136" s="6">
        <f aca="true" t="shared" si="48" ref="H136:M136">SUM(H137:H139)</f>
        <v>985070343</v>
      </c>
      <c r="I136" s="6">
        <f t="shared" si="48"/>
        <v>30309856</v>
      </c>
      <c r="J136" s="6">
        <f t="shared" si="48"/>
        <v>1015380199</v>
      </c>
      <c r="K136" s="6">
        <f t="shared" si="48"/>
        <v>264666532</v>
      </c>
      <c r="L136" s="6">
        <f t="shared" si="48"/>
        <v>0</v>
      </c>
      <c r="M136" s="6">
        <f t="shared" si="48"/>
        <v>332417639</v>
      </c>
      <c r="N136" s="6">
        <f aca="true" t="shared" si="49" ref="N136:S136">SUM(N137:N139)</f>
        <v>0</v>
      </c>
      <c r="O136" s="6">
        <f t="shared" si="24"/>
        <v>597084171</v>
      </c>
      <c r="P136" s="6">
        <f t="shared" si="49"/>
        <v>0</v>
      </c>
      <c r="Q136" s="6">
        <f t="shared" si="49"/>
        <v>0</v>
      </c>
      <c r="R136" s="6">
        <f t="shared" si="49"/>
        <v>382590828</v>
      </c>
      <c r="S136" s="6">
        <f t="shared" si="49"/>
        <v>77076305</v>
      </c>
      <c r="T136" s="52">
        <f t="shared" si="25"/>
        <v>1056751304</v>
      </c>
      <c r="U136" s="4">
        <f>+U137</f>
        <v>1056751304</v>
      </c>
      <c r="V136" s="6">
        <f>U136*100/J136</f>
        <v>104.07444472924963</v>
      </c>
    </row>
    <row r="137" spans="1:23" s="59" customFormat="1" ht="18">
      <c r="A137" s="260"/>
      <c r="B137" s="1"/>
      <c r="C137" s="1"/>
      <c r="D137" s="2" t="str">
        <f>'ING.MATRIZ'!D129</f>
        <v>223</v>
      </c>
      <c r="E137" s="2" t="str">
        <f>'ING.MATRIZ'!E129</f>
        <v>070</v>
      </c>
      <c r="F137" s="2" t="str">
        <f>'ING.MATRIZ'!F129</f>
        <v>011</v>
      </c>
      <c r="G137" s="23" t="str">
        <f>'ING.MATRIZ'!G129</f>
        <v>Aportes del Gobierno Central con Royalties</v>
      </c>
      <c r="H137" s="7">
        <f>'ING.MATRIZ'!H129</f>
        <v>985070343</v>
      </c>
      <c r="I137" s="7">
        <f>'ING.MATRIZ'!I129</f>
        <v>30309856</v>
      </c>
      <c r="J137" s="7">
        <f>H137+I137</f>
        <v>1015380199</v>
      </c>
      <c r="K137" s="15">
        <v>264666532</v>
      </c>
      <c r="L137" s="15">
        <v>0</v>
      </c>
      <c r="M137" s="15">
        <v>332417639</v>
      </c>
      <c r="N137" s="15">
        <v>0</v>
      </c>
      <c r="O137" s="15">
        <f t="shared" si="24"/>
        <v>597084171</v>
      </c>
      <c r="P137" s="15">
        <v>0</v>
      </c>
      <c r="Q137" s="15">
        <v>0</v>
      </c>
      <c r="R137" s="15">
        <v>382590828</v>
      </c>
      <c r="S137" s="15">
        <v>77076305</v>
      </c>
      <c r="T137" s="52">
        <f t="shared" si="25"/>
        <v>1056751304</v>
      </c>
      <c r="U137" s="15">
        <f>+T137</f>
        <v>1056751304</v>
      </c>
      <c r="V137" s="6">
        <f>U137*100/J137</f>
        <v>104.07444472924963</v>
      </c>
      <c r="W137" s="323"/>
    </row>
    <row r="138" spans="1:22" s="59" customFormat="1" ht="18.75" customHeight="1" hidden="1">
      <c r="A138" s="260"/>
      <c r="B138" s="1"/>
      <c r="C138" s="1"/>
      <c r="D138" s="2"/>
      <c r="E138" s="2"/>
      <c r="F138" s="2"/>
      <c r="G138" s="23"/>
      <c r="H138" s="7"/>
      <c r="I138" s="7"/>
      <c r="J138" s="7"/>
      <c r="K138" s="15"/>
      <c r="L138" s="15"/>
      <c r="M138" s="15"/>
      <c r="N138" s="15"/>
      <c r="O138" s="15">
        <f t="shared" si="24"/>
        <v>0</v>
      </c>
      <c r="P138" s="15"/>
      <c r="Q138" s="15"/>
      <c r="R138" s="15"/>
      <c r="S138" s="15"/>
      <c r="T138" s="52">
        <f t="shared" si="25"/>
        <v>0</v>
      </c>
      <c r="U138" s="15"/>
      <c r="V138" s="6"/>
    </row>
    <row r="139" spans="1:22" s="59" customFormat="1" ht="18">
      <c r="A139" s="260"/>
      <c r="B139" s="1"/>
      <c r="C139" s="1"/>
      <c r="D139" s="2"/>
      <c r="E139" s="2"/>
      <c r="F139" s="2"/>
      <c r="G139" s="23"/>
      <c r="H139" s="7"/>
      <c r="I139" s="7"/>
      <c r="J139" s="7"/>
      <c r="K139" s="15"/>
      <c r="L139" s="15"/>
      <c r="M139" s="15"/>
      <c r="N139" s="15"/>
      <c r="O139" s="15">
        <f t="shared" si="24"/>
        <v>0</v>
      </c>
      <c r="P139" s="15"/>
      <c r="Q139" s="15"/>
      <c r="R139" s="15"/>
      <c r="S139" s="15"/>
      <c r="T139" s="52">
        <f t="shared" si="25"/>
        <v>0</v>
      </c>
      <c r="U139" s="15"/>
      <c r="V139" s="6"/>
    </row>
    <row r="140" spans="1:22" s="60" customFormat="1" ht="18.75" customHeight="1" hidden="1">
      <c r="A140" s="260"/>
      <c r="B140" s="16"/>
      <c r="C140" s="16"/>
      <c r="D140" s="17"/>
      <c r="E140" s="17"/>
      <c r="F140" s="17"/>
      <c r="G140" s="18"/>
      <c r="H140" s="30"/>
      <c r="I140" s="30"/>
      <c r="J140" s="30"/>
      <c r="K140" s="19"/>
      <c r="L140" s="19"/>
      <c r="M140" s="19"/>
      <c r="N140" s="19"/>
      <c r="O140" s="19">
        <f t="shared" si="24"/>
        <v>0</v>
      </c>
      <c r="P140" s="19"/>
      <c r="Q140" s="19"/>
      <c r="R140" s="19"/>
      <c r="S140" s="19"/>
      <c r="T140" s="52">
        <f t="shared" si="25"/>
        <v>0</v>
      </c>
      <c r="U140" s="19"/>
      <c r="V140" s="22"/>
    </row>
    <row r="141" spans="1:22" s="60" customFormat="1" ht="22.5" customHeight="1" hidden="1">
      <c r="A141" s="260"/>
      <c r="B141" s="1"/>
      <c r="C141" s="1"/>
      <c r="D141" s="1" t="str">
        <f>'ING.MATRIZ'!D133</f>
        <v>224</v>
      </c>
      <c r="E141" s="1"/>
      <c r="F141" s="1"/>
      <c r="G141" s="29" t="str">
        <f>'ING.MATRIZ'!G133</f>
        <v>Transferencias Consolidables de Entidades y Organismos del Estado</v>
      </c>
      <c r="H141" s="6">
        <f aca="true" t="shared" si="50" ref="H141:N141">SUM(H142:H143)</f>
        <v>0</v>
      </c>
      <c r="I141" s="6">
        <f t="shared" si="50"/>
        <v>0</v>
      </c>
      <c r="J141" s="6">
        <f t="shared" si="50"/>
        <v>0</v>
      </c>
      <c r="K141" s="6">
        <f t="shared" si="50"/>
        <v>0</v>
      </c>
      <c r="L141" s="6">
        <f t="shared" si="50"/>
        <v>0</v>
      </c>
      <c r="M141" s="6">
        <f t="shared" si="50"/>
        <v>0</v>
      </c>
      <c r="N141" s="6">
        <f t="shared" si="50"/>
        <v>0</v>
      </c>
      <c r="O141" s="6">
        <f aca="true" t="shared" si="51" ref="O141:O164">SUM(K141:N141)</f>
        <v>0</v>
      </c>
      <c r="P141" s="6">
        <f>SUM(P142:P143)</f>
        <v>0</v>
      </c>
      <c r="Q141" s="6">
        <f>SUM(Q142:Q143)</f>
        <v>0</v>
      </c>
      <c r="R141" s="6"/>
      <c r="S141" s="6"/>
      <c r="T141" s="52">
        <f aca="true" t="shared" si="52" ref="T141:T164">+O141+P141+Q141+R141+S141</f>
        <v>0</v>
      </c>
      <c r="U141" s="4" t="e">
        <f>#REF!+#REF!+#REF!</f>
        <v>#REF!</v>
      </c>
      <c r="V141" s="6" t="e">
        <f>U141*100/J141</f>
        <v>#REF!</v>
      </c>
    </row>
    <row r="142" spans="1:22" s="60" customFormat="1" ht="18.75" customHeight="1" hidden="1">
      <c r="A142" s="260"/>
      <c r="B142" s="1"/>
      <c r="C142" s="1"/>
      <c r="D142" s="2"/>
      <c r="E142" s="2"/>
      <c r="F142" s="2"/>
      <c r="G142" s="23"/>
      <c r="H142" s="7"/>
      <c r="I142" s="7"/>
      <c r="J142" s="7"/>
      <c r="K142" s="15"/>
      <c r="L142" s="15"/>
      <c r="M142" s="15"/>
      <c r="N142" s="15"/>
      <c r="O142" s="15">
        <f t="shared" si="51"/>
        <v>0</v>
      </c>
      <c r="P142" s="15"/>
      <c r="Q142" s="15"/>
      <c r="R142" s="15"/>
      <c r="S142" s="15"/>
      <c r="T142" s="52">
        <f t="shared" si="52"/>
        <v>0</v>
      </c>
      <c r="U142" s="15"/>
      <c r="V142" s="6"/>
    </row>
    <row r="143" spans="1:22" s="60" customFormat="1" ht="18.75" customHeight="1" hidden="1">
      <c r="A143" s="260"/>
      <c r="B143" s="16"/>
      <c r="C143" s="16"/>
      <c r="D143" s="17"/>
      <c r="E143" s="17"/>
      <c r="F143" s="17"/>
      <c r="G143" s="18"/>
      <c r="H143" s="30"/>
      <c r="I143" s="30"/>
      <c r="J143" s="30"/>
      <c r="K143" s="19"/>
      <c r="L143" s="19"/>
      <c r="M143" s="19"/>
      <c r="N143" s="19"/>
      <c r="O143" s="19">
        <f t="shared" si="51"/>
        <v>0</v>
      </c>
      <c r="P143" s="19"/>
      <c r="Q143" s="19"/>
      <c r="R143" s="19"/>
      <c r="S143" s="19"/>
      <c r="T143" s="52">
        <f t="shared" si="52"/>
        <v>0</v>
      </c>
      <c r="U143" s="19"/>
      <c r="V143" s="22"/>
    </row>
    <row r="144" spans="1:22" s="59" customFormat="1" ht="18.75" customHeight="1" hidden="1">
      <c r="A144" s="260"/>
      <c r="B144" s="1"/>
      <c r="C144" s="1" t="str">
        <f>'ING.MATRIZ'!C136</f>
        <v>230</v>
      </c>
      <c r="D144" s="1"/>
      <c r="E144" s="1"/>
      <c r="F144" s="1"/>
      <c r="G144" s="13" t="str">
        <f>'ING.MATRIZ'!G136</f>
        <v>DONACIONES DE CAPITAL</v>
      </c>
      <c r="H144" s="6">
        <f aca="true" t="shared" si="53" ref="H144:N145">H145</f>
        <v>0</v>
      </c>
      <c r="I144" s="6">
        <f t="shared" si="53"/>
        <v>0</v>
      </c>
      <c r="J144" s="6">
        <f t="shared" si="53"/>
        <v>0</v>
      </c>
      <c r="K144" s="6">
        <f t="shared" si="53"/>
        <v>0</v>
      </c>
      <c r="L144" s="6">
        <f t="shared" si="53"/>
        <v>0</v>
      </c>
      <c r="M144" s="6">
        <f t="shared" si="53"/>
        <v>0</v>
      </c>
      <c r="N144" s="6">
        <f t="shared" si="53"/>
        <v>0</v>
      </c>
      <c r="O144" s="6">
        <f t="shared" si="51"/>
        <v>0</v>
      </c>
      <c r="P144" s="6">
        <f>P145</f>
        <v>0</v>
      </c>
      <c r="Q144" s="6">
        <f>Q145</f>
        <v>0</v>
      </c>
      <c r="R144" s="6"/>
      <c r="S144" s="6"/>
      <c r="T144" s="52">
        <f t="shared" si="52"/>
        <v>0</v>
      </c>
      <c r="U144" s="4" t="e">
        <f>#REF!+#REF!+#REF!</f>
        <v>#REF!</v>
      </c>
      <c r="V144" s="6" t="e">
        <f>U144*100/J144</f>
        <v>#REF!</v>
      </c>
    </row>
    <row r="145" spans="1:22" s="59" customFormat="1" ht="18.75" customHeight="1" hidden="1">
      <c r="A145" s="260"/>
      <c r="B145" s="1"/>
      <c r="C145" s="1"/>
      <c r="D145" s="1" t="str">
        <f>'ING.MATRIZ'!D137</f>
        <v>231</v>
      </c>
      <c r="E145" s="1"/>
      <c r="F145" s="1"/>
      <c r="G145" s="29" t="str">
        <f>'ING.MATRIZ'!G137</f>
        <v>Donaciones Nacionales</v>
      </c>
      <c r="H145" s="6">
        <f t="shared" si="53"/>
        <v>0</v>
      </c>
      <c r="I145" s="6">
        <f t="shared" si="53"/>
        <v>0</v>
      </c>
      <c r="J145" s="6">
        <f t="shared" si="53"/>
        <v>0</v>
      </c>
      <c r="K145" s="6">
        <f t="shared" si="53"/>
        <v>0</v>
      </c>
      <c r="L145" s="6">
        <f t="shared" si="53"/>
        <v>0</v>
      </c>
      <c r="M145" s="6">
        <f t="shared" si="53"/>
        <v>0</v>
      </c>
      <c r="N145" s="6">
        <f t="shared" si="53"/>
        <v>0</v>
      </c>
      <c r="O145" s="6">
        <f t="shared" si="51"/>
        <v>0</v>
      </c>
      <c r="P145" s="6">
        <f>P146</f>
        <v>0</v>
      </c>
      <c r="Q145" s="6">
        <f>Q146</f>
        <v>0</v>
      </c>
      <c r="R145" s="6"/>
      <c r="S145" s="6"/>
      <c r="T145" s="52">
        <f t="shared" si="52"/>
        <v>0</v>
      </c>
      <c r="U145" s="4" t="e">
        <f>#REF!+#REF!+#REF!</f>
        <v>#REF!</v>
      </c>
      <c r="V145" s="6" t="e">
        <f>U145*100/J145</f>
        <v>#REF!</v>
      </c>
    </row>
    <row r="146" spans="1:22" s="59" customFormat="1" ht="18.75" customHeight="1" hidden="1">
      <c r="A146" s="260"/>
      <c r="B146" s="1"/>
      <c r="C146" s="1"/>
      <c r="D146" s="2"/>
      <c r="E146" s="2"/>
      <c r="F146" s="2"/>
      <c r="G146" s="23"/>
      <c r="H146" s="7"/>
      <c r="I146" s="7"/>
      <c r="J146" s="7"/>
      <c r="K146" s="15"/>
      <c r="L146" s="15"/>
      <c r="M146" s="15"/>
      <c r="N146" s="15"/>
      <c r="O146" s="15">
        <f t="shared" si="51"/>
        <v>0</v>
      </c>
      <c r="P146" s="15"/>
      <c r="Q146" s="15"/>
      <c r="R146" s="15"/>
      <c r="S146" s="15"/>
      <c r="T146" s="52">
        <f t="shared" si="52"/>
        <v>0</v>
      </c>
      <c r="U146" s="15"/>
      <c r="V146" s="6"/>
    </row>
    <row r="147" spans="1:22" s="61" customFormat="1" ht="18" customHeight="1" hidden="1">
      <c r="A147" s="33"/>
      <c r="B147" s="16"/>
      <c r="C147" s="16"/>
      <c r="D147" s="17"/>
      <c r="E147" s="17"/>
      <c r="F147" s="17"/>
      <c r="G147" s="18"/>
      <c r="H147" s="30"/>
      <c r="I147" s="30"/>
      <c r="J147" s="30"/>
      <c r="K147" s="19"/>
      <c r="L147" s="19"/>
      <c r="M147" s="19"/>
      <c r="N147" s="19"/>
      <c r="O147" s="19">
        <f t="shared" si="51"/>
        <v>0</v>
      </c>
      <c r="P147" s="19"/>
      <c r="Q147" s="19"/>
      <c r="R147" s="19"/>
      <c r="S147" s="19"/>
      <c r="T147" s="52">
        <f t="shared" si="52"/>
        <v>0</v>
      </c>
      <c r="U147" s="19"/>
      <c r="V147" s="22"/>
    </row>
    <row r="148" spans="1:22" s="12" customFormat="1" ht="17.25">
      <c r="A148" s="33"/>
      <c r="B148" s="9">
        <f>'ING.MATRIZ'!B140</f>
        <v>300</v>
      </c>
      <c r="C148" s="10"/>
      <c r="D148" s="10"/>
      <c r="E148" s="10"/>
      <c r="F148" s="10"/>
      <c r="G148" s="37" t="str">
        <f>'ING.MATRIZ'!G140</f>
        <v>RECURSOS DE FINANCIAMIENTO</v>
      </c>
      <c r="H148" s="35">
        <f aca="true" t="shared" si="54" ref="H148:N148">H149+H154+H158</f>
        <v>0</v>
      </c>
      <c r="I148" s="35">
        <f t="shared" si="54"/>
        <v>0</v>
      </c>
      <c r="J148" s="35">
        <f t="shared" si="54"/>
        <v>0</v>
      </c>
      <c r="K148" s="35">
        <f t="shared" si="54"/>
        <v>0</v>
      </c>
      <c r="L148" s="35">
        <f t="shared" si="54"/>
        <v>0</v>
      </c>
      <c r="M148" s="35">
        <f t="shared" si="54"/>
        <v>0</v>
      </c>
      <c r="N148" s="35">
        <f t="shared" si="54"/>
        <v>0</v>
      </c>
      <c r="O148" s="35">
        <f t="shared" si="51"/>
        <v>0</v>
      </c>
      <c r="P148" s="35">
        <f>P149+P154+P158</f>
        <v>0</v>
      </c>
      <c r="Q148" s="35">
        <f>Q149+Q154+Q158</f>
        <v>0</v>
      </c>
      <c r="R148" s="35">
        <f>R149+R154+R158</f>
        <v>0</v>
      </c>
      <c r="S148" s="35">
        <f>S149+S154+S158</f>
        <v>0</v>
      </c>
      <c r="T148" s="52">
        <f t="shared" si="52"/>
        <v>0</v>
      </c>
      <c r="U148" s="34">
        <f>+U158</f>
        <v>0</v>
      </c>
      <c r="V148" s="36">
        <v>0</v>
      </c>
    </row>
    <row r="149" spans="1:22" s="59" customFormat="1" ht="18.75" customHeight="1" hidden="1">
      <c r="A149" s="260"/>
      <c r="B149" s="2"/>
      <c r="C149" s="1" t="str">
        <f>'ING.MATRIZ'!C141</f>
        <v>310</v>
      </c>
      <c r="D149" s="2"/>
      <c r="E149" s="2"/>
      <c r="F149" s="2"/>
      <c r="G149" s="13" t="str">
        <f>'ING.MATRIZ'!G141</f>
        <v>ENDEUDAMIENTO INTERNO</v>
      </c>
      <c r="H149" s="3">
        <f aca="true" t="shared" si="55" ref="H149:N149">H150</f>
        <v>0</v>
      </c>
      <c r="I149" s="3">
        <f t="shared" si="55"/>
        <v>0</v>
      </c>
      <c r="J149" s="3">
        <f t="shared" si="55"/>
        <v>0</v>
      </c>
      <c r="K149" s="3">
        <f t="shared" si="55"/>
        <v>0</v>
      </c>
      <c r="L149" s="3">
        <f t="shared" si="55"/>
        <v>0</v>
      </c>
      <c r="M149" s="3">
        <f t="shared" si="55"/>
        <v>0</v>
      </c>
      <c r="N149" s="3">
        <f t="shared" si="55"/>
        <v>0</v>
      </c>
      <c r="O149" s="3">
        <f t="shared" si="51"/>
        <v>0</v>
      </c>
      <c r="P149" s="3">
        <f>P150</f>
        <v>0</v>
      </c>
      <c r="Q149" s="3">
        <f>Q150</f>
        <v>0</v>
      </c>
      <c r="R149" s="3">
        <f>R150</f>
        <v>0</v>
      </c>
      <c r="S149" s="3">
        <f>S150</f>
        <v>0</v>
      </c>
      <c r="T149" s="52">
        <f t="shared" si="52"/>
        <v>0</v>
      </c>
      <c r="U149" s="4" t="e">
        <f>#REF!+#REF!+#REF!</f>
        <v>#REF!</v>
      </c>
      <c r="V149" s="6" t="e">
        <f>U149*100/J149</f>
        <v>#REF!</v>
      </c>
    </row>
    <row r="150" spans="1:22" s="59" customFormat="1" ht="18.75" customHeight="1" hidden="1">
      <c r="A150" s="260"/>
      <c r="B150" s="2"/>
      <c r="C150" s="1"/>
      <c r="D150" s="1" t="str">
        <f>'ING.MATRIZ'!D142</f>
        <v>313</v>
      </c>
      <c r="E150" s="1"/>
      <c r="F150" s="1"/>
      <c r="G150" s="13" t="str">
        <f>'ING.MATRIZ'!G142</f>
        <v>Prestamos del Sector Privado</v>
      </c>
      <c r="H150" s="3">
        <f aca="true" t="shared" si="56" ref="H150:N150">SUM(H151:H152)</f>
        <v>0</v>
      </c>
      <c r="I150" s="3">
        <f t="shared" si="56"/>
        <v>0</v>
      </c>
      <c r="J150" s="3">
        <f t="shared" si="56"/>
        <v>0</v>
      </c>
      <c r="K150" s="3">
        <f t="shared" si="56"/>
        <v>0</v>
      </c>
      <c r="L150" s="3">
        <f t="shared" si="56"/>
        <v>0</v>
      </c>
      <c r="M150" s="3">
        <f t="shared" si="56"/>
        <v>0</v>
      </c>
      <c r="N150" s="3">
        <f t="shared" si="56"/>
        <v>0</v>
      </c>
      <c r="O150" s="3">
        <f t="shared" si="51"/>
        <v>0</v>
      </c>
      <c r="P150" s="3">
        <f>SUM(P151:P152)</f>
        <v>0</v>
      </c>
      <c r="Q150" s="3">
        <f>SUM(Q151:Q152)</f>
        <v>0</v>
      </c>
      <c r="R150" s="3">
        <f>SUM(R151:R152)</f>
        <v>0</v>
      </c>
      <c r="S150" s="3">
        <f>SUM(S151:S152)</f>
        <v>0</v>
      </c>
      <c r="T150" s="52">
        <f t="shared" si="52"/>
        <v>0</v>
      </c>
      <c r="U150" s="3" t="e">
        <f>#REF!+#REF!+#REF!</f>
        <v>#REF!</v>
      </c>
      <c r="V150" s="6" t="e">
        <f>U150*100/J150</f>
        <v>#REF!</v>
      </c>
    </row>
    <row r="151" spans="1:22" s="59" customFormat="1" ht="18.75" customHeight="1" hidden="1">
      <c r="A151" s="260"/>
      <c r="B151" s="2"/>
      <c r="C151" s="2"/>
      <c r="D151" s="2"/>
      <c r="E151" s="2"/>
      <c r="F151" s="2"/>
      <c r="G151" s="23"/>
      <c r="H151" s="5"/>
      <c r="I151" s="5"/>
      <c r="J151" s="5"/>
      <c r="K151" s="15"/>
      <c r="L151" s="15"/>
      <c r="M151" s="15"/>
      <c r="N151" s="15"/>
      <c r="O151" s="15">
        <f t="shared" si="51"/>
        <v>0</v>
      </c>
      <c r="P151" s="15"/>
      <c r="Q151" s="15"/>
      <c r="R151" s="15"/>
      <c r="S151" s="15"/>
      <c r="T151" s="52">
        <f t="shared" si="52"/>
        <v>0</v>
      </c>
      <c r="U151" s="15"/>
      <c r="V151" s="6"/>
    </row>
    <row r="152" spans="1:22" s="59" customFormat="1" ht="18.75" customHeight="1" hidden="1">
      <c r="A152" s="260"/>
      <c r="B152" s="2"/>
      <c r="C152" s="2"/>
      <c r="D152" s="2"/>
      <c r="E152" s="2"/>
      <c r="F152" s="2"/>
      <c r="G152" s="23"/>
      <c r="H152" s="5"/>
      <c r="I152" s="5"/>
      <c r="J152" s="5"/>
      <c r="K152" s="15"/>
      <c r="L152" s="15"/>
      <c r="M152" s="15"/>
      <c r="N152" s="15"/>
      <c r="O152" s="15">
        <f t="shared" si="51"/>
        <v>0</v>
      </c>
      <c r="P152" s="15"/>
      <c r="Q152" s="15"/>
      <c r="R152" s="15"/>
      <c r="S152" s="15"/>
      <c r="T152" s="52">
        <f t="shared" si="52"/>
        <v>0</v>
      </c>
      <c r="U152" s="15"/>
      <c r="V152" s="6"/>
    </row>
    <row r="153" spans="1:22" s="59" customFormat="1" ht="18.75" customHeight="1" hidden="1">
      <c r="A153" s="260"/>
      <c r="B153" s="2"/>
      <c r="C153" s="2"/>
      <c r="D153" s="2"/>
      <c r="E153" s="2"/>
      <c r="F153" s="2"/>
      <c r="G153" s="23"/>
      <c r="H153" s="5"/>
      <c r="I153" s="5"/>
      <c r="J153" s="5"/>
      <c r="K153" s="15"/>
      <c r="L153" s="15"/>
      <c r="M153" s="15"/>
      <c r="N153" s="15"/>
      <c r="O153" s="15">
        <f t="shared" si="51"/>
        <v>0</v>
      </c>
      <c r="P153" s="15"/>
      <c r="Q153" s="15"/>
      <c r="R153" s="15"/>
      <c r="S153" s="15"/>
      <c r="T153" s="52">
        <f t="shared" si="52"/>
        <v>0</v>
      </c>
      <c r="U153" s="15"/>
      <c r="V153" s="6"/>
    </row>
    <row r="154" spans="1:22" s="59" customFormat="1" ht="18.75" customHeight="1" hidden="1">
      <c r="A154" s="260"/>
      <c r="B154" s="1"/>
      <c r="C154" s="1" t="str">
        <f>'ING.MATRIZ'!C146</f>
        <v>330</v>
      </c>
      <c r="D154" s="2"/>
      <c r="E154" s="2"/>
      <c r="F154" s="2"/>
      <c r="G154" s="13" t="str">
        <f>'ING.MATRIZ'!G146</f>
        <v>RECUPERACIÓN DE PRESTAMOS</v>
      </c>
      <c r="H154" s="3">
        <f aca="true" t="shared" si="57" ref="H154:N155">H155</f>
        <v>0</v>
      </c>
      <c r="I154" s="3">
        <f t="shared" si="57"/>
        <v>0</v>
      </c>
      <c r="J154" s="3">
        <f t="shared" si="57"/>
        <v>0</v>
      </c>
      <c r="K154" s="3">
        <f t="shared" si="57"/>
        <v>0</v>
      </c>
      <c r="L154" s="3">
        <f t="shared" si="57"/>
        <v>0</v>
      </c>
      <c r="M154" s="3">
        <f t="shared" si="57"/>
        <v>0</v>
      </c>
      <c r="N154" s="3">
        <f t="shared" si="57"/>
        <v>0</v>
      </c>
      <c r="O154" s="3">
        <f t="shared" si="51"/>
        <v>0</v>
      </c>
      <c r="P154" s="3">
        <f aca="true" t="shared" si="58" ref="P154:S155">P155</f>
        <v>0</v>
      </c>
      <c r="Q154" s="3">
        <f t="shared" si="58"/>
        <v>0</v>
      </c>
      <c r="R154" s="3">
        <f t="shared" si="58"/>
        <v>0</v>
      </c>
      <c r="S154" s="3">
        <f t="shared" si="58"/>
        <v>0</v>
      </c>
      <c r="T154" s="52">
        <f t="shared" si="52"/>
        <v>0</v>
      </c>
      <c r="U154" s="3" t="e">
        <f>#REF!+#REF!+#REF!</f>
        <v>#REF!</v>
      </c>
      <c r="V154" s="6" t="e">
        <f>U154*100/J154</f>
        <v>#REF!</v>
      </c>
    </row>
    <row r="155" spans="1:22" s="59" customFormat="1" ht="18.75" customHeight="1" hidden="1">
      <c r="A155" s="260"/>
      <c r="B155" s="1"/>
      <c r="C155" s="1"/>
      <c r="D155" s="1" t="str">
        <f>'ING.MATRIZ'!D147</f>
        <v>333</v>
      </c>
      <c r="E155" s="1"/>
      <c r="F155" s="1"/>
      <c r="G155" s="13" t="str">
        <f>'ING.MATRIZ'!G147</f>
        <v>Reembolso por Construcción de Pavimento</v>
      </c>
      <c r="H155" s="3">
        <f t="shared" si="57"/>
        <v>0</v>
      </c>
      <c r="I155" s="3">
        <f t="shared" si="57"/>
        <v>0</v>
      </c>
      <c r="J155" s="3">
        <f t="shared" si="57"/>
        <v>0</v>
      </c>
      <c r="K155" s="3">
        <f t="shared" si="57"/>
        <v>0</v>
      </c>
      <c r="L155" s="3">
        <f t="shared" si="57"/>
        <v>0</v>
      </c>
      <c r="M155" s="3">
        <f t="shared" si="57"/>
        <v>0</v>
      </c>
      <c r="N155" s="3">
        <f t="shared" si="57"/>
        <v>0</v>
      </c>
      <c r="O155" s="3">
        <f t="shared" si="51"/>
        <v>0</v>
      </c>
      <c r="P155" s="3">
        <f t="shared" si="58"/>
        <v>0</v>
      </c>
      <c r="Q155" s="3">
        <f t="shared" si="58"/>
        <v>0</v>
      </c>
      <c r="R155" s="3">
        <f t="shared" si="58"/>
        <v>0</v>
      </c>
      <c r="S155" s="3">
        <f t="shared" si="58"/>
        <v>0</v>
      </c>
      <c r="T155" s="52">
        <f t="shared" si="52"/>
        <v>0</v>
      </c>
      <c r="U155" s="3" t="e">
        <f>#REF!+#REF!+#REF!</f>
        <v>#REF!</v>
      </c>
      <c r="V155" s="6" t="e">
        <f>U155*100/J155</f>
        <v>#REF!</v>
      </c>
    </row>
    <row r="156" spans="1:22" s="59" customFormat="1" ht="18.75" customHeight="1" hidden="1">
      <c r="A156" s="260"/>
      <c r="B156" s="2"/>
      <c r="C156" s="2"/>
      <c r="D156" s="2"/>
      <c r="E156" s="2"/>
      <c r="F156" s="2"/>
      <c r="G156" s="23"/>
      <c r="H156" s="5"/>
      <c r="I156" s="5"/>
      <c r="J156" s="5"/>
      <c r="K156" s="15"/>
      <c r="L156" s="15"/>
      <c r="M156" s="15"/>
      <c r="N156" s="15"/>
      <c r="O156" s="15">
        <f t="shared" si="51"/>
        <v>0</v>
      </c>
      <c r="P156" s="15"/>
      <c r="Q156" s="15"/>
      <c r="R156" s="15"/>
      <c r="S156" s="15"/>
      <c r="T156" s="52">
        <f t="shared" si="52"/>
        <v>0</v>
      </c>
      <c r="U156" s="15"/>
      <c r="V156" s="6"/>
    </row>
    <row r="157" spans="1:22" s="59" customFormat="1" ht="18.75" customHeight="1" hidden="1">
      <c r="A157" s="260"/>
      <c r="B157" s="2"/>
      <c r="C157" s="2"/>
      <c r="D157" s="2"/>
      <c r="E157" s="2"/>
      <c r="F157" s="2"/>
      <c r="G157" s="23"/>
      <c r="H157" s="5"/>
      <c r="I157" s="5"/>
      <c r="J157" s="5"/>
      <c r="K157" s="15"/>
      <c r="L157" s="15"/>
      <c r="M157" s="15"/>
      <c r="N157" s="15"/>
      <c r="O157" s="15">
        <f t="shared" si="51"/>
        <v>0</v>
      </c>
      <c r="P157" s="15"/>
      <c r="Q157" s="15"/>
      <c r="R157" s="15"/>
      <c r="S157" s="15"/>
      <c r="T157" s="52">
        <f t="shared" si="52"/>
        <v>0</v>
      </c>
      <c r="U157" s="15"/>
      <c r="V157" s="6"/>
    </row>
    <row r="158" spans="1:22" s="59" customFormat="1" ht="18">
      <c r="A158" s="260"/>
      <c r="B158" s="2"/>
      <c r="C158" s="1" t="str">
        <f>'ING.MATRIZ'!C150</f>
        <v>340</v>
      </c>
      <c r="D158" s="2"/>
      <c r="E158" s="2"/>
      <c r="F158" s="2"/>
      <c r="G158" s="13" t="str">
        <f>'ING.MATRIZ'!G150</f>
        <v>SALDO INICIAL DE CAJA</v>
      </c>
      <c r="H158" s="3">
        <f aca="true" t="shared" si="59" ref="H158:N158">H159+H162</f>
        <v>0</v>
      </c>
      <c r="I158" s="3">
        <f t="shared" si="59"/>
        <v>0</v>
      </c>
      <c r="J158" s="3">
        <f t="shared" si="59"/>
        <v>0</v>
      </c>
      <c r="K158" s="3">
        <f t="shared" si="59"/>
        <v>0</v>
      </c>
      <c r="L158" s="3">
        <f t="shared" si="59"/>
        <v>0</v>
      </c>
      <c r="M158" s="3">
        <f t="shared" si="59"/>
        <v>0</v>
      </c>
      <c r="N158" s="3">
        <f t="shared" si="59"/>
        <v>0</v>
      </c>
      <c r="O158" s="3">
        <f t="shared" si="51"/>
        <v>0</v>
      </c>
      <c r="P158" s="3">
        <f>P159+P162</f>
        <v>0</v>
      </c>
      <c r="Q158" s="3">
        <f>Q159+Q162</f>
        <v>0</v>
      </c>
      <c r="R158" s="3">
        <f>R159+R162</f>
        <v>0</v>
      </c>
      <c r="S158" s="3">
        <f>S159+S162</f>
        <v>0</v>
      </c>
      <c r="T158" s="52">
        <f t="shared" si="52"/>
        <v>0</v>
      </c>
      <c r="U158" s="4">
        <f>+U162</f>
        <v>0</v>
      </c>
      <c r="V158" s="6">
        <v>0</v>
      </c>
    </row>
    <row r="159" spans="1:22" s="59" customFormat="1" ht="18.75" customHeight="1" hidden="1">
      <c r="A159" s="260"/>
      <c r="B159" s="1"/>
      <c r="C159" s="1"/>
      <c r="D159" s="1" t="str">
        <f>'ING.MATRIZ'!D151</f>
        <v>341</v>
      </c>
      <c r="E159" s="1"/>
      <c r="F159" s="1"/>
      <c r="G159" s="13" t="str">
        <f>'ING.MATRIZ'!G151</f>
        <v>Saldo Inicial de Tesorería</v>
      </c>
      <c r="H159" s="3">
        <f aca="true" t="shared" si="60" ref="H159:N159">SUM(H160:H161)</f>
        <v>0</v>
      </c>
      <c r="I159" s="3">
        <f t="shared" si="60"/>
        <v>0</v>
      </c>
      <c r="J159" s="3">
        <f t="shared" si="60"/>
        <v>0</v>
      </c>
      <c r="K159" s="3">
        <f t="shared" si="60"/>
        <v>0</v>
      </c>
      <c r="L159" s="3">
        <f t="shared" si="60"/>
        <v>0</v>
      </c>
      <c r="M159" s="3">
        <f t="shared" si="60"/>
        <v>0</v>
      </c>
      <c r="N159" s="3">
        <f t="shared" si="60"/>
        <v>0</v>
      </c>
      <c r="O159" s="3">
        <f t="shared" si="51"/>
        <v>0</v>
      </c>
      <c r="P159" s="3">
        <f>SUM(P160:P161)</f>
        <v>0</v>
      </c>
      <c r="Q159" s="3">
        <f>SUM(Q160:Q161)</f>
        <v>0</v>
      </c>
      <c r="R159" s="3">
        <f>SUM(R160:R161)</f>
        <v>0</v>
      </c>
      <c r="S159" s="3">
        <f>SUM(S160:S161)</f>
        <v>0</v>
      </c>
      <c r="T159" s="52">
        <f t="shared" si="52"/>
        <v>0</v>
      </c>
      <c r="U159" s="3" t="e">
        <f>#REF!+#REF!+#REF!</f>
        <v>#REF!</v>
      </c>
      <c r="V159" s="6" t="e">
        <f>U159*100/J159</f>
        <v>#REF!</v>
      </c>
    </row>
    <row r="160" spans="1:22" s="59" customFormat="1" ht="18.75" customHeight="1" hidden="1">
      <c r="A160" s="260"/>
      <c r="B160" s="2"/>
      <c r="C160" s="2"/>
      <c r="D160" s="2"/>
      <c r="E160" s="2"/>
      <c r="F160" s="2"/>
      <c r="G160" s="23"/>
      <c r="H160" s="5"/>
      <c r="I160" s="5"/>
      <c r="J160" s="5"/>
      <c r="K160" s="15"/>
      <c r="L160" s="15"/>
      <c r="M160" s="15"/>
      <c r="N160" s="15"/>
      <c r="O160" s="15">
        <f t="shared" si="51"/>
        <v>0</v>
      </c>
      <c r="P160" s="15"/>
      <c r="Q160" s="15"/>
      <c r="R160" s="15"/>
      <c r="S160" s="15"/>
      <c r="T160" s="52">
        <f t="shared" si="52"/>
        <v>0</v>
      </c>
      <c r="U160" s="15"/>
      <c r="V160" s="6"/>
    </row>
    <row r="161" spans="1:22" s="59" customFormat="1" ht="18.75" customHeight="1" hidden="1">
      <c r="A161" s="260"/>
      <c r="B161" s="2"/>
      <c r="C161" s="2"/>
      <c r="D161" s="2"/>
      <c r="E161" s="2"/>
      <c r="F161" s="2"/>
      <c r="G161" s="23"/>
      <c r="H161" s="5"/>
      <c r="I161" s="5"/>
      <c r="J161" s="5"/>
      <c r="K161" s="5"/>
      <c r="L161" s="5"/>
      <c r="M161" s="5"/>
      <c r="N161" s="5"/>
      <c r="O161" s="5">
        <f t="shared" si="51"/>
        <v>0</v>
      </c>
      <c r="P161" s="5"/>
      <c r="Q161" s="5"/>
      <c r="R161" s="5"/>
      <c r="S161" s="5"/>
      <c r="T161" s="52">
        <f t="shared" si="52"/>
        <v>0</v>
      </c>
      <c r="U161" s="15"/>
      <c r="V161" s="6"/>
    </row>
    <row r="162" spans="1:22" s="59" customFormat="1" ht="18">
      <c r="A162" s="260"/>
      <c r="B162" s="1"/>
      <c r="C162" s="1"/>
      <c r="D162" s="1" t="str">
        <f>'ING.MATRIZ'!D154</f>
        <v>343</v>
      </c>
      <c r="E162" s="1"/>
      <c r="F162" s="1"/>
      <c r="G162" s="13" t="str">
        <f>'ING.MATRIZ'!G154</f>
        <v>Saldo Inicial de Recursos Institucionales</v>
      </c>
      <c r="H162" s="3">
        <f aca="true" t="shared" si="61" ref="H162:N162">SUM(H163:H164)</f>
        <v>0</v>
      </c>
      <c r="I162" s="3">
        <f t="shared" si="61"/>
        <v>0</v>
      </c>
      <c r="J162" s="3">
        <f t="shared" si="61"/>
        <v>0</v>
      </c>
      <c r="K162" s="3">
        <f t="shared" si="61"/>
        <v>0</v>
      </c>
      <c r="L162" s="3">
        <f t="shared" si="61"/>
        <v>0</v>
      </c>
      <c r="M162" s="3">
        <f t="shared" si="61"/>
        <v>0</v>
      </c>
      <c r="N162" s="3">
        <f t="shared" si="61"/>
        <v>0</v>
      </c>
      <c r="O162" s="3">
        <f t="shared" si="51"/>
        <v>0</v>
      </c>
      <c r="P162" s="3">
        <f>SUM(P163:P164)</f>
        <v>0</v>
      </c>
      <c r="Q162" s="3">
        <f>SUM(Q163:Q164)</f>
        <v>0</v>
      </c>
      <c r="R162" s="3">
        <f>SUM(R163:R164)</f>
        <v>0</v>
      </c>
      <c r="S162" s="3">
        <f>SUM(S163:S164)</f>
        <v>0</v>
      </c>
      <c r="T162" s="52">
        <f t="shared" si="52"/>
        <v>0</v>
      </c>
      <c r="U162" s="4">
        <f>+U163</f>
        <v>0</v>
      </c>
      <c r="V162" s="6">
        <v>0</v>
      </c>
    </row>
    <row r="163" spans="1:22" s="59" customFormat="1" ht="18">
      <c r="A163" s="260"/>
      <c r="B163" s="2"/>
      <c r="C163" s="2"/>
      <c r="D163" s="2" t="str">
        <f>'ING.MATRIZ'!D157</f>
        <v>343</v>
      </c>
      <c r="E163" s="2" t="str">
        <f>'ING.MATRIZ'!E157</f>
        <v>020</v>
      </c>
      <c r="F163" s="2" t="str">
        <f>'ING.MATRIZ'!F157</f>
        <v>011</v>
      </c>
      <c r="G163" s="23" t="str">
        <f>'ING.MATRIZ'!G157</f>
        <v>De Recursos con Afectación Específica Corriente</v>
      </c>
      <c r="H163" s="5">
        <f>'ING.MATRIZ'!H157</f>
        <v>0</v>
      </c>
      <c r="I163" s="5">
        <f>'ING.MATRIZ'!I157</f>
        <v>0</v>
      </c>
      <c r="J163" s="5">
        <f>H163+I163</f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f t="shared" si="51"/>
        <v>0</v>
      </c>
      <c r="P163" s="15">
        <v>0</v>
      </c>
      <c r="Q163" s="15">
        <v>0</v>
      </c>
      <c r="R163" s="15">
        <v>0</v>
      </c>
      <c r="S163" s="15">
        <v>0</v>
      </c>
      <c r="T163" s="52">
        <f t="shared" si="52"/>
        <v>0</v>
      </c>
      <c r="U163" s="15">
        <f>+U164</f>
        <v>0</v>
      </c>
      <c r="V163" s="6">
        <v>0</v>
      </c>
    </row>
    <row r="164" spans="1:22" s="59" customFormat="1" ht="18">
      <c r="A164" s="260"/>
      <c r="B164" s="2"/>
      <c r="C164" s="2"/>
      <c r="D164" s="2" t="str">
        <f>'ING.MATRIZ'!D158</f>
        <v>343</v>
      </c>
      <c r="E164" s="2" t="str">
        <f>'ING.MATRIZ'!E158</f>
        <v>021</v>
      </c>
      <c r="F164" s="2" t="str">
        <f>'ING.MATRIZ'!F158</f>
        <v>011</v>
      </c>
      <c r="G164" s="23" t="str">
        <f>'ING.MATRIZ'!G158</f>
        <v>De Recursos con Afectación Específica Capital</v>
      </c>
      <c r="H164" s="5">
        <f>'ING.MATRIZ'!H158</f>
        <v>0</v>
      </c>
      <c r="I164" s="5">
        <f>'ING.MATRIZ'!I158</f>
        <v>0</v>
      </c>
      <c r="J164" s="5">
        <f>H164+I164</f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f t="shared" si="51"/>
        <v>0</v>
      </c>
      <c r="P164" s="15">
        <v>0</v>
      </c>
      <c r="Q164" s="15">
        <v>0</v>
      </c>
      <c r="R164" s="15">
        <v>0</v>
      </c>
      <c r="S164" s="15">
        <v>0</v>
      </c>
      <c r="T164" s="52">
        <f t="shared" si="52"/>
        <v>0</v>
      </c>
      <c r="U164" s="15">
        <f>+T164</f>
        <v>0</v>
      </c>
      <c r="V164" s="6">
        <v>0</v>
      </c>
    </row>
    <row r="165" spans="1:22" s="165" customFormat="1" ht="20.25">
      <c r="A165" s="150"/>
      <c r="B165" s="31"/>
      <c r="C165" s="31"/>
      <c r="D165" s="32"/>
      <c r="E165" s="32"/>
      <c r="F165" s="32"/>
      <c r="G165" s="51" t="s">
        <v>85</v>
      </c>
      <c r="H165" s="52">
        <f aca="true" t="shared" si="62" ref="H165:U165">H13+H129+H148</f>
        <v>1269225249</v>
      </c>
      <c r="I165" s="52">
        <f t="shared" si="62"/>
        <v>0</v>
      </c>
      <c r="J165" s="52">
        <f t="shared" si="62"/>
        <v>1269225249</v>
      </c>
      <c r="K165" s="52">
        <f t="shared" si="62"/>
        <v>330833165</v>
      </c>
      <c r="L165" s="52">
        <f t="shared" si="62"/>
        <v>0</v>
      </c>
      <c r="M165" s="52">
        <f t="shared" si="62"/>
        <v>415522049</v>
      </c>
      <c r="N165" s="52">
        <f t="shared" si="62"/>
        <v>0</v>
      </c>
      <c r="O165" s="52">
        <f t="shared" si="62"/>
        <v>746355214</v>
      </c>
      <c r="P165" s="52">
        <f t="shared" si="62"/>
        <v>0</v>
      </c>
      <c r="Q165" s="52">
        <f t="shared" si="62"/>
        <v>0</v>
      </c>
      <c r="R165" s="52">
        <f t="shared" si="62"/>
        <v>478238535</v>
      </c>
      <c r="S165" s="52">
        <f t="shared" si="62"/>
        <v>96345381</v>
      </c>
      <c r="T165" s="52">
        <f t="shared" si="62"/>
        <v>1320939130</v>
      </c>
      <c r="U165" s="52">
        <f t="shared" si="62"/>
        <v>1320939130</v>
      </c>
      <c r="V165" s="53">
        <f>U165*100/J165</f>
        <v>104.07444470875004</v>
      </c>
    </row>
    <row r="166" spans="2:21" s="451" customFormat="1" ht="25.5" customHeight="1">
      <c r="B166" s="452"/>
      <c r="C166" s="452"/>
      <c r="D166" s="452"/>
      <c r="E166" s="452"/>
      <c r="F166" s="452"/>
      <c r="G166" s="453"/>
      <c r="H166" s="451">
        <v>1269225249</v>
      </c>
      <c r="I166" s="451">
        <v>0</v>
      </c>
      <c r="J166" s="451">
        <v>1269225249</v>
      </c>
      <c r="K166" s="451">
        <v>330833165</v>
      </c>
      <c r="L166" s="451">
        <v>0</v>
      </c>
      <c r="M166" s="451">
        <v>415522049</v>
      </c>
      <c r="N166" s="451">
        <v>0</v>
      </c>
      <c r="O166" s="451">
        <v>746355214</v>
      </c>
      <c r="R166" s="451">
        <v>478238535</v>
      </c>
      <c r="S166" s="451">
        <v>96345381</v>
      </c>
      <c r="T166" s="451">
        <f>+O166+R166+S166</f>
        <v>1320939130</v>
      </c>
      <c r="U166" s="454"/>
    </row>
    <row r="167" spans="2:21" s="451" customFormat="1" ht="25.5" customHeight="1">
      <c r="B167" s="452"/>
      <c r="C167" s="452"/>
      <c r="D167" s="452"/>
      <c r="E167" s="452"/>
      <c r="F167" s="452"/>
      <c r="G167" s="453"/>
      <c r="H167" s="451">
        <f>+H165-H166</f>
        <v>0</v>
      </c>
      <c r="I167" s="451">
        <f aca="true" t="shared" si="63" ref="I167:S167">+I165-I166</f>
        <v>0</v>
      </c>
      <c r="J167" s="451">
        <f t="shared" si="63"/>
        <v>0</v>
      </c>
      <c r="K167" s="451">
        <f t="shared" si="63"/>
        <v>0</v>
      </c>
      <c r="L167" s="451">
        <f t="shared" si="63"/>
        <v>0</v>
      </c>
      <c r="M167" s="451">
        <f t="shared" si="63"/>
        <v>0</v>
      </c>
      <c r="N167" s="451">
        <f t="shared" si="63"/>
        <v>0</v>
      </c>
      <c r="O167" s="451">
        <f t="shared" si="63"/>
        <v>0</v>
      </c>
      <c r="P167" s="451">
        <f t="shared" si="63"/>
        <v>0</v>
      </c>
      <c r="Q167" s="451">
        <f t="shared" si="63"/>
        <v>0</v>
      </c>
      <c r="R167" s="451">
        <f t="shared" si="63"/>
        <v>0</v>
      </c>
      <c r="S167" s="451">
        <f t="shared" si="63"/>
        <v>0</v>
      </c>
      <c r="U167" s="454"/>
    </row>
    <row r="169" spans="2:21" s="258" customFormat="1" ht="17.25" customHeight="1">
      <c r="B169" s="55"/>
      <c r="C169" s="55"/>
      <c r="D169" s="55"/>
      <c r="E169" s="55"/>
      <c r="F169" s="55"/>
      <c r="G169" s="261"/>
      <c r="U169" s="262"/>
    </row>
    <row r="170" spans="6:23" s="263" customFormat="1" ht="15.75">
      <c r="F170" s="518" t="s">
        <v>509</v>
      </c>
      <c r="G170" s="518"/>
      <c r="J170" s="265" t="s">
        <v>519</v>
      </c>
      <c r="R170" s="444"/>
      <c r="S170" s="266" t="s">
        <v>541</v>
      </c>
      <c r="U170" s="444"/>
      <c r="V170" s="266"/>
      <c r="W170" s="267"/>
    </row>
    <row r="171" spans="2:19" s="262" customFormat="1" ht="15">
      <c r="B171" s="268"/>
      <c r="C171" s="268"/>
      <c r="D171" s="268"/>
      <c r="E171" s="268"/>
      <c r="F171" s="522" t="s">
        <v>498</v>
      </c>
      <c r="G171" s="522"/>
      <c r="J171" s="268" t="s">
        <v>477</v>
      </c>
      <c r="S171" s="262" t="s">
        <v>473</v>
      </c>
    </row>
    <row r="172" spans="7:23" s="263" customFormat="1" ht="15.75">
      <c r="G172" s="264"/>
      <c r="J172" s="266"/>
      <c r="K172" s="266"/>
      <c r="U172" s="265"/>
      <c r="V172" s="266"/>
      <c r="W172" s="267"/>
    </row>
    <row r="173" spans="2:21" s="258" customFormat="1" ht="15">
      <c r="B173" s="55"/>
      <c r="C173" s="55"/>
      <c r="D173" s="55"/>
      <c r="E173" s="55"/>
      <c r="F173" s="55"/>
      <c r="G173" s="261"/>
      <c r="U173" s="262"/>
    </row>
  </sheetData>
  <sheetProtection/>
  <mergeCells count="16">
    <mergeCell ref="J10:J11"/>
    <mergeCell ref="K10:N10"/>
    <mergeCell ref="F170:G170"/>
    <mergeCell ref="F171:G171"/>
    <mergeCell ref="B10:F10"/>
    <mergeCell ref="O10:O11"/>
    <mergeCell ref="U7:V7"/>
    <mergeCell ref="V10:V11"/>
    <mergeCell ref="T10:T11"/>
    <mergeCell ref="U10:U11"/>
    <mergeCell ref="B8:C8"/>
    <mergeCell ref="E8:F8"/>
    <mergeCell ref="H10:H11"/>
    <mergeCell ref="G10:G11"/>
    <mergeCell ref="I10:I11"/>
    <mergeCell ref="P10:S10"/>
  </mergeCells>
  <printOptions/>
  <pageMargins left="0.81" right="0" top="0.1968503937007874" bottom="1.1811023622047245" header="0" footer="0.2362204724409449"/>
  <pageSetup horizontalDpi="300" verticalDpi="300" orientation="landscape" paperSize="5" scale="75" r:id="rId1"/>
  <headerFooter alignWithMargins="0"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V83"/>
  <sheetViews>
    <sheetView zoomScalePageLayoutView="0" workbookViewId="0" topLeftCell="A43">
      <selection activeCell="T73" sqref="T73"/>
    </sheetView>
  </sheetViews>
  <sheetFormatPr defaultColWidth="10.140625" defaultRowHeight="12.75"/>
  <cols>
    <col min="1" max="1" width="23.8515625" style="218" customWidth="1"/>
    <col min="2" max="2" width="13.00390625" style="169" bestFit="1" customWidth="1"/>
    <col min="3" max="3" width="45.28125" style="0" customWidth="1"/>
    <col min="4" max="5" width="12.140625" style="170" hidden="1" customWidth="1"/>
    <col min="6" max="6" width="12.140625" style="314" hidden="1" customWidth="1"/>
    <col min="7" max="7" width="12.140625" style="171" hidden="1" customWidth="1"/>
    <col min="8" max="8" width="11.421875" style="171" hidden="1" customWidth="1"/>
    <col min="9" max="9" width="12.28125" style="171" hidden="1" customWidth="1"/>
    <col min="10" max="10" width="14.421875" style="168" customWidth="1"/>
    <col min="11" max="11" width="14.57421875" style="168" customWidth="1"/>
    <col min="12" max="13" width="12.140625" style="168" hidden="1" customWidth="1"/>
    <col min="14" max="14" width="11.57421875" style="0" customWidth="1"/>
    <col min="15" max="15" width="8.8515625" style="0" customWidth="1"/>
  </cols>
  <sheetData>
    <row r="1" ht="13.5" hidden="1"/>
    <row r="2" spans="1:13" s="240" customFormat="1" ht="27.75" hidden="1">
      <c r="A2" s="218"/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</row>
    <row r="3" spans="1:13" s="241" customFormat="1" ht="16.5" hidden="1">
      <c r="A3" s="218"/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</row>
    <row r="4" spans="1:13" s="241" customFormat="1" ht="16.5" hidden="1">
      <c r="A4" s="218"/>
      <c r="B4" s="594"/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</row>
    <row r="5" spans="1:9" s="168" customFormat="1" ht="13.5" hidden="1">
      <c r="A5" s="218"/>
      <c r="B5" s="169"/>
      <c r="D5" s="170"/>
      <c r="E5" s="170"/>
      <c r="F5" s="314"/>
      <c r="G5" s="171"/>
      <c r="H5" s="171"/>
      <c r="I5" s="171"/>
    </row>
    <row r="6" spans="1:13" s="243" customFormat="1" ht="22.5">
      <c r="A6" s="218"/>
      <c r="B6" s="595" t="s">
        <v>493</v>
      </c>
      <c r="C6" s="595"/>
      <c r="D6" s="595"/>
      <c r="E6" s="595"/>
      <c r="F6" s="595"/>
      <c r="G6" s="595"/>
      <c r="H6" s="595"/>
      <c r="I6" s="595"/>
      <c r="J6" s="595"/>
      <c r="K6" s="595"/>
      <c r="L6" s="595"/>
      <c r="M6" s="595"/>
    </row>
    <row r="7" spans="1:13" s="242" customFormat="1" ht="21">
      <c r="A7" s="218"/>
      <c r="B7" s="596" t="s">
        <v>525</v>
      </c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</row>
    <row r="8" spans="1:13" s="219" customFormat="1" ht="15">
      <c r="A8" s="218"/>
      <c r="B8" s="220" t="s">
        <v>282</v>
      </c>
      <c r="C8" s="220">
        <v>30</v>
      </c>
      <c r="D8" s="221"/>
      <c r="E8" s="313"/>
      <c r="F8" s="222"/>
      <c r="G8" s="222"/>
      <c r="H8" s="222"/>
      <c r="I8" s="222"/>
      <c r="J8" s="223"/>
      <c r="K8" s="223"/>
      <c r="L8" s="223"/>
      <c r="M8" s="223"/>
    </row>
    <row r="9" spans="1:13" s="219" customFormat="1" ht="15">
      <c r="A9" s="218"/>
      <c r="B9" s="220" t="s">
        <v>281</v>
      </c>
      <c r="C9" s="220" t="s">
        <v>505</v>
      </c>
      <c r="D9" s="221"/>
      <c r="E9" s="312"/>
      <c r="F9" s="222"/>
      <c r="G9" s="222"/>
      <c r="H9" s="222"/>
      <c r="I9" s="222"/>
      <c r="J9" s="224" t="s">
        <v>494</v>
      </c>
      <c r="K9" s="223"/>
      <c r="L9" s="224" t="s">
        <v>495</v>
      </c>
      <c r="M9" s="223"/>
    </row>
    <row r="10" spans="1:9" s="168" customFormat="1" ht="13.5">
      <c r="A10" s="218"/>
      <c r="B10" s="169"/>
      <c r="D10" s="170"/>
      <c r="E10" s="170"/>
      <c r="F10" s="314"/>
      <c r="G10" s="172"/>
      <c r="H10" s="171"/>
      <c r="I10" s="171"/>
    </row>
    <row r="11" spans="1:18" s="229" customFormat="1" ht="13.5">
      <c r="A11" s="244"/>
      <c r="B11" s="597" t="s">
        <v>323</v>
      </c>
      <c r="C11" s="597" t="s">
        <v>297</v>
      </c>
      <c r="D11" s="600" t="s">
        <v>324</v>
      </c>
      <c r="E11" s="601"/>
      <c r="F11" s="600" t="s">
        <v>325</v>
      </c>
      <c r="G11" s="601"/>
      <c r="H11" s="600" t="s">
        <v>326</v>
      </c>
      <c r="I11" s="601"/>
      <c r="J11" s="602" t="s">
        <v>327</v>
      </c>
      <c r="K11" s="603"/>
      <c r="L11" s="602" t="s">
        <v>328</v>
      </c>
      <c r="M11" s="603"/>
      <c r="N11" s="227"/>
      <c r="O11" s="227"/>
      <c r="P11" s="228"/>
      <c r="Q11" s="228"/>
      <c r="R11" s="228"/>
    </row>
    <row r="12" spans="1:18" s="229" customFormat="1" ht="13.5">
      <c r="A12" s="244"/>
      <c r="B12" s="598"/>
      <c r="C12" s="599"/>
      <c r="D12" s="230" t="s">
        <v>329</v>
      </c>
      <c r="E12" s="230" t="s">
        <v>330</v>
      </c>
      <c r="F12" s="230" t="s">
        <v>329</v>
      </c>
      <c r="G12" s="230" t="s">
        <v>330</v>
      </c>
      <c r="H12" s="230" t="s">
        <v>331</v>
      </c>
      <c r="I12" s="230" t="s">
        <v>332</v>
      </c>
      <c r="J12" s="231" t="s">
        <v>333</v>
      </c>
      <c r="K12" s="231" t="s">
        <v>334</v>
      </c>
      <c r="L12" s="231" t="s">
        <v>335</v>
      </c>
      <c r="M12" s="231" t="s">
        <v>336</v>
      </c>
      <c r="N12" s="227"/>
      <c r="O12" s="227"/>
      <c r="P12" s="228"/>
      <c r="Q12" s="228"/>
      <c r="R12" s="228"/>
    </row>
    <row r="13" spans="2:18" ht="13.5">
      <c r="B13" s="209" t="s">
        <v>337</v>
      </c>
      <c r="C13" s="210" t="s">
        <v>333</v>
      </c>
      <c r="D13" s="225" t="e">
        <f aca="true" t="shared" si="0" ref="D13:I13">D14+D27</f>
        <v>#REF!</v>
      </c>
      <c r="E13" s="225" t="e">
        <f t="shared" si="0"/>
        <v>#REF!</v>
      </c>
      <c r="F13" s="225" t="e">
        <f t="shared" si="0"/>
        <v>#REF!</v>
      </c>
      <c r="G13" s="225" t="e">
        <f t="shared" si="0"/>
        <v>#REF!</v>
      </c>
      <c r="H13" s="225" t="e">
        <f t="shared" si="0"/>
        <v>#REF!</v>
      </c>
      <c r="I13" s="225" t="e">
        <f t="shared" si="0"/>
        <v>#REF!</v>
      </c>
      <c r="J13" s="225">
        <f>J14+J27</f>
        <v>2116192884</v>
      </c>
      <c r="K13" s="225">
        <v>0</v>
      </c>
      <c r="L13" s="225" t="e">
        <f>L14+L27</f>
        <v>#REF!</v>
      </c>
      <c r="M13" s="225" t="e">
        <f>M14+M27</f>
        <v>#REF!</v>
      </c>
      <c r="N13" s="174"/>
      <c r="O13" s="174"/>
      <c r="P13" s="169"/>
      <c r="Q13" s="169"/>
      <c r="R13" s="169"/>
    </row>
    <row r="14" spans="2:18" ht="13.5">
      <c r="B14" s="175" t="s">
        <v>338</v>
      </c>
      <c r="C14" s="204" t="s">
        <v>339</v>
      </c>
      <c r="D14" s="176" t="e">
        <f>#REF!+D15+D20</f>
        <v>#REF!</v>
      </c>
      <c r="E14" s="176" t="e">
        <f>#REF!+E15+E20</f>
        <v>#REF!</v>
      </c>
      <c r="F14" s="176" t="e">
        <f>#REF!+F15+F20</f>
        <v>#REF!</v>
      </c>
      <c r="G14" s="176" t="e">
        <f>#REF!+G15+G20</f>
        <v>#REF!</v>
      </c>
      <c r="H14" s="176" t="e">
        <f>#REF!+H15+H20</f>
        <v>#REF!</v>
      </c>
      <c r="I14" s="176" t="e">
        <f>#REF!+I15+I20</f>
        <v>#REF!</v>
      </c>
      <c r="J14" s="176">
        <f>+J15+J20</f>
        <v>1520223948</v>
      </c>
      <c r="K14" s="176">
        <v>0</v>
      </c>
      <c r="L14" s="176" t="e">
        <f>#REF!+L15+L20</f>
        <v>#REF!</v>
      </c>
      <c r="M14" s="176" t="e">
        <f>#REF!+M15+M20</f>
        <v>#REF!</v>
      </c>
      <c r="N14" s="174"/>
      <c r="O14" s="174"/>
      <c r="P14" s="169"/>
      <c r="Q14" s="169"/>
      <c r="R14" s="169"/>
    </row>
    <row r="15" spans="2:15" ht="13.5">
      <c r="B15" s="175" t="s">
        <v>340</v>
      </c>
      <c r="C15" s="205" t="s">
        <v>341</v>
      </c>
      <c r="D15" s="188">
        <f>SUM(D16:D19)</f>
        <v>247936178</v>
      </c>
      <c r="E15" s="188">
        <f>SUM(E16:E19)</f>
        <v>0</v>
      </c>
      <c r="F15" s="316" t="e">
        <f aca="true" t="shared" si="1" ref="F15:L15">SUM(F16:F19)</f>
        <v>#REF!</v>
      </c>
      <c r="G15" s="188" t="e">
        <f t="shared" si="1"/>
        <v>#REF!</v>
      </c>
      <c r="H15" s="188">
        <f t="shared" si="1"/>
        <v>934073195</v>
      </c>
      <c r="I15" s="188">
        <f t="shared" si="1"/>
        <v>0</v>
      </c>
      <c r="J15" s="188">
        <f>SUM(J16:J19)</f>
        <v>1519607948</v>
      </c>
      <c r="K15" s="188">
        <f t="shared" si="1"/>
        <v>0</v>
      </c>
      <c r="L15" s="188">
        <f t="shared" si="1"/>
        <v>0</v>
      </c>
      <c r="M15" s="188">
        <f>SUM(M16:M19)</f>
        <v>0</v>
      </c>
      <c r="N15" s="178"/>
      <c r="O15" s="178"/>
    </row>
    <row r="16" spans="2:15" ht="13.5">
      <c r="B16" s="175" t="s">
        <v>342</v>
      </c>
      <c r="C16" s="182" t="s">
        <v>589</v>
      </c>
      <c r="D16" s="181">
        <v>16299769</v>
      </c>
      <c r="E16" s="181">
        <v>0</v>
      </c>
      <c r="F16" s="315">
        <v>920153492</v>
      </c>
      <c r="G16" s="177">
        <v>678682806</v>
      </c>
      <c r="H16" s="177">
        <v>257770455</v>
      </c>
      <c r="I16" s="177">
        <v>0</v>
      </c>
      <c r="J16" s="508">
        <v>204298878</v>
      </c>
      <c r="K16" s="177">
        <f aca="true" t="shared" si="2" ref="J16:K19">I16</f>
        <v>0</v>
      </c>
      <c r="L16" s="177">
        <v>0</v>
      </c>
      <c r="M16" s="177">
        <f>K16</f>
        <v>0</v>
      </c>
      <c r="N16" s="178"/>
      <c r="O16" s="178"/>
    </row>
    <row r="17" spans="2:15" ht="13.5">
      <c r="B17" s="175" t="s">
        <v>343</v>
      </c>
      <c r="C17" s="182" t="s">
        <v>590</v>
      </c>
      <c r="D17" s="181">
        <v>4816312</v>
      </c>
      <c r="E17" s="181">
        <v>0</v>
      </c>
      <c r="F17" s="315">
        <v>830650977</v>
      </c>
      <c r="G17" s="177">
        <v>493514976</v>
      </c>
      <c r="H17" s="177">
        <v>341952313</v>
      </c>
      <c r="I17" s="177">
        <v>0</v>
      </c>
      <c r="J17" s="177">
        <v>831836229</v>
      </c>
      <c r="K17" s="177">
        <f t="shared" si="2"/>
        <v>0</v>
      </c>
      <c r="L17" s="177">
        <v>0</v>
      </c>
      <c r="M17" s="177">
        <f>K17</f>
        <v>0</v>
      </c>
      <c r="N17" s="178"/>
      <c r="O17" s="178"/>
    </row>
    <row r="18" spans="2:15" ht="13.5">
      <c r="B18" s="175" t="s">
        <v>344</v>
      </c>
      <c r="C18" s="182" t="s">
        <v>591</v>
      </c>
      <c r="D18" s="181">
        <v>223820097</v>
      </c>
      <c r="E18" s="181">
        <v>0</v>
      </c>
      <c r="F18" s="315" t="e">
        <f>#REF!+#REF!+#REF!</f>
        <v>#REF!</v>
      </c>
      <c r="G18" s="177" t="e">
        <f>D18+F18-H18</f>
        <v>#REF!</v>
      </c>
      <c r="H18" s="177">
        <v>331405427</v>
      </c>
      <c r="I18" s="177"/>
      <c r="J18" s="177">
        <v>480527841</v>
      </c>
      <c r="K18" s="177">
        <f t="shared" si="2"/>
        <v>0</v>
      </c>
      <c r="L18" s="177">
        <v>0</v>
      </c>
      <c r="M18" s="177">
        <f>K18</f>
        <v>0</v>
      </c>
      <c r="N18" s="178"/>
      <c r="O18" s="178"/>
    </row>
    <row r="19" spans="2:15" ht="13.5">
      <c r="B19" s="175" t="s">
        <v>510</v>
      </c>
      <c r="C19" s="182" t="s">
        <v>592</v>
      </c>
      <c r="D19" s="181">
        <v>3000000</v>
      </c>
      <c r="E19" s="181"/>
      <c r="F19" s="315">
        <v>0</v>
      </c>
      <c r="G19" s="177">
        <f>D19+F19-H19</f>
        <v>55000</v>
      </c>
      <c r="H19" s="177">
        <v>2945000</v>
      </c>
      <c r="I19" s="177"/>
      <c r="J19" s="177">
        <f t="shared" si="2"/>
        <v>2945000</v>
      </c>
      <c r="K19" s="177"/>
      <c r="L19" s="177"/>
      <c r="M19" s="177"/>
      <c r="N19" s="178"/>
      <c r="O19" s="178"/>
    </row>
    <row r="20" spans="2:15" ht="13.5">
      <c r="B20" s="182" t="s">
        <v>345</v>
      </c>
      <c r="C20" s="205" t="s">
        <v>346</v>
      </c>
      <c r="D20" s="183" t="e">
        <f>D21+#REF!+#REF!</f>
        <v>#REF!</v>
      </c>
      <c r="E20" s="183" t="e">
        <f>E21+#REF!+#REF!</f>
        <v>#REF!</v>
      </c>
      <c r="F20" s="183" t="e">
        <f>F21+#REF!+#REF!</f>
        <v>#REF!</v>
      </c>
      <c r="G20" s="183" t="e">
        <f>G21+#REF!+#REF!</f>
        <v>#REF!</v>
      </c>
      <c r="H20" s="183" t="e">
        <f>H21+#REF!+#REF!</f>
        <v>#REF!</v>
      </c>
      <c r="I20" s="183" t="e">
        <f>I21+#REF!+#REF!</f>
        <v>#REF!</v>
      </c>
      <c r="J20" s="183">
        <f>+J21</f>
        <v>616000</v>
      </c>
      <c r="K20" s="183">
        <v>0</v>
      </c>
      <c r="L20" s="183" t="e">
        <f>L21+#REF!+#REF!</f>
        <v>#REF!</v>
      </c>
      <c r="M20" s="183" t="e">
        <f>M21+#REF!+#REF!</f>
        <v>#REF!</v>
      </c>
      <c r="N20" s="178"/>
      <c r="O20" s="178"/>
    </row>
    <row r="21" spans="2:15" ht="13.5">
      <c r="B21" s="182" t="s">
        <v>347</v>
      </c>
      <c r="C21" s="186" t="str">
        <f>'ING.MATRIZ'!G9</f>
        <v>INGRESOS CORRIENTES</v>
      </c>
      <c r="D21" s="183" t="e">
        <f>D22+#REF!+#REF!+#REF!+#REF!+#REF!+#REF!</f>
        <v>#REF!</v>
      </c>
      <c r="E21" s="183" t="e">
        <f>E22+#REF!+#REF!+#REF!+#REF!+#REF!+#REF!</f>
        <v>#REF!</v>
      </c>
      <c r="F21" s="183" t="e">
        <f>F22+#REF!+#REF!+#REF!+#REF!+#REF!+#REF!</f>
        <v>#REF!</v>
      </c>
      <c r="G21" s="183" t="e">
        <f>G22+#REF!+#REF!+#REF!+#REF!+#REF!+#REF!</f>
        <v>#REF!</v>
      </c>
      <c r="H21" s="183" t="e">
        <f>H22+#REF!+#REF!+#REF!+#REF!+#REF!+#REF!</f>
        <v>#REF!</v>
      </c>
      <c r="I21" s="183" t="e">
        <f>I22+#REF!+#REF!+#REF!+#REF!+#REF!+#REF!</f>
        <v>#REF!</v>
      </c>
      <c r="J21" s="183">
        <f>+J22</f>
        <v>616000</v>
      </c>
      <c r="K21" s="183">
        <v>0</v>
      </c>
      <c r="L21" s="183" t="e">
        <f>L22+#REF!+#REF!+#REF!+#REF!+#REF!+#REF!</f>
        <v>#REF!</v>
      </c>
      <c r="M21" s="183" t="e">
        <f>M22+#REF!+#REF!+#REF!+#REF!+#REF!+#REF!</f>
        <v>#REF!</v>
      </c>
      <c r="N21" s="178"/>
      <c r="O21" s="178"/>
    </row>
    <row r="22" spans="2:15" ht="13.5">
      <c r="B22" s="182" t="s">
        <v>348</v>
      </c>
      <c r="C22" s="186" t="str">
        <f>'ING.MATRIZ'!G10</f>
        <v>INGRESOS TRIBUTARIOS</v>
      </c>
      <c r="D22" s="183" t="e">
        <f>D23+#REF!+#REF!</f>
        <v>#REF!</v>
      </c>
      <c r="E22" s="183" t="e">
        <f>E23+#REF!+#REF!</f>
        <v>#REF!</v>
      </c>
      <c r="F22" s="183" t="e">
        <f>F23+#REF!+#REF!</f>
        <v>#REF!</v>
      </c>
      <c r="G22" s="183" t="e">
        <f>G23+#REF!+#REF!</f>
        <v>#REF!</v>
      </c>
      <c r="H22" s="183" t="e">
        <f>H23+#REF!+#REF!</f>
        <v>#REF!</v>
      </c>
      <c r="I22" s="183" t="e">
        <f>I23+#REF!+#REF!</f>
        <v>#REF!</v>
      </c>
      <c r="J22" s="183">
        <f>J23</f>
        <v>616000</v>
      </c>
      <c r="K22" s="183">
        <v>0</v>
      </c>
      <c r="L22" s="183" t="e">
        <f>L23+#REF!+#REF!</f>
        <v>#REF!</v>
      </c>
      <c r="M22" s="183" t="e">
        <f>M23+#REF!+#REF!</f>
        <v>#REF!</v>
      </c>
      <c r="N22" s="178"/>
      <c r="O22" s="178"/>
    </row>
    <row r="23" spans="2:15" ht="13.5">
      <c r="B23" s="182" t="s">
        <v>349</v>
      </c>
      <c r="C23" s="186" t="str">
        <f>'ING.MATRIZ'!G11</f>
        <v>Impuesto sobre la Propiedad</v>
      </c>
      <c r="D23" s="183">
        <f aca="true" t="shared" si="3" ref="D23:J23">SUM(D24:D25)</f>
        <v>616000</v>
      </c>
      <c r="E23" s="183">
        <f t="shared" si="3"/>
        <v>0</v>
      </c>
      <c r="F23" s="183">
        <f t="shared" si="3"/>
        <v>690912466</v>
      </c>
      <c r="G23" s="183">
        <f t="shared" si="3"/>
        <v>690912466</v>
      </c>
      <c r="H23" s="183">
        <f t="shared" si="3"/>
        <v>616000</v>
      </c>
      <c r="I23" s="183">
        <f t="shared" si="3"/>
        <v>0</v>
      </c>
      <c r="J23" s="183">
        <f t="shared" si="3"/>
        <v>616000</v>
      </c>
      <c r="K23" s="183">
        <v>0</v>
      </c>
      <c r="L23" s="183">
        <f>SUM(L24:L25)</f>
        <v>0</v>
      </c>
      <c r="M23" s="183">
        <f>SUM(M24:M25)</f>
        <v>0</v>
      </c>
      <c r="N23" s="178"/>
      <c r="O23" s="178"/>
    </row>
    <row r="24" spans="2:15" ht="13.5">
      <c r="B24" s="182" t="s">
        <v>349</v>
      </c>
      <c r="C24" s="203" t="str">
        <f>'ING.MATRIZ'!G12</f>
        <v>Impuesto Inmobiliario</v>
      </c>
      <c r="D24" s="184">
        <v>616000</v>
      </c>
      <c r="E24" s="184">
        <v>0</v>
      </c>
      <c r="F24" s="184">
        <f>'ING.MATRIZ'!U12</f>
        <v>690912466</v>
      </c>
      <c r="G24" s="184">
        <f>F24</f>
        <v>690912466</v>
      </c>
      <c r="H24" s="184">
        <f>+D24</f>
        <v>616000</v>
      </c>
      <c r="I24" s="184">
        <v>0</v>
      </c>
      <c r="J24" s="184">
        <f>+H24</f>
        <v>616000</v>
      </c>
      <c r="K24" s="184">
        <v>0</v>
      </c>
      <c r="L24" s="184">
        <v>0</v>
      </c>
      <c r="M24" s="184">
        <v>0</v>
      </c>
      <c r="N24" s="178"/>
      <c r="O24" s="178"/>
    </row>
    <row r="25" spans="2:15" ht="13.5">
      <c r="B25" s="182" t="s">
        <v>349</v>
      </c>
      <c r="C25" s="203" t="str">
        <f>'ING.MATRIZ'!G13</f>
        <v>Impuesto Adicional a los Baldios y Semibaldíos </v>
      </c>
      <c r="D25" s="184">
        <v>0</v>
      </c>
      <c r="E25" s="184">
        <v>0</v>
      </c>
      <c r="F25" s="184">
        <f>'ING.MATRIZ'!U13</f>
        <v>0</v>
      </c>
      <c r="G25" s="184">
        <f>F25</f>
        <v>0</v>
      </c>
      <c r="H25" s="184">
        <v>0</v>
      </c>
      <c r="I25" s="184">
        <v>0</v>
      </c>
      <c r="J25" s="184">
        <v>0</v>
      </c>
      <c r="K25" s="184">
        <v>0</v>
      </c>
      <c r="L25" s="184">
        <v>0</v>
      </c>
      <c r="M25" s="184">
        <v>0</v>
      </c>
      <c r="N25" s="178"/>
      <c r="O25" s="178"/>
    </row>
    <row r="26" spans="2:15" ht="13.5">
      <c r="B26" s="182"/>
      <c r="C26" s="182"/>
      <c r="D26" s="181"/>
      <c r="E26" s="181"/>
      <c r="F26" s="226"/>
      <c r="G26" s="181"/>
      <c r="H26" s="181"/>
      <c r="I26" s="181"/>
      <c r="J26" s="181"/>
      <c r="K26" s="181"/>
      <c r="L26" s="181"/>
      <c r="M26" s="181"/>
      <c r="N26" s="178"/>
      <c r="O26" s="178"/>
    </row>
    <row r="27" spans="2:15" ht="13.5">
      <c r="B27" s="182" t="s">
        <v>350</v>
      </c>
      <c r="C27" s="205" t="s">
        <v>351</v>
      </c>
      <c r="D27" s="188">
        <f>D28</f>
        <v>408828400</v>
      </c>
      <c r="E27" s="188">
        <f aca="true" t="shared" si="4" ref="E27:M27">E28</f>
        <v>0</v>
      </c>
      <c r="F27" s="316">
        <f t="shared" si="4"/>
        <v>0</v>
      </c>
      <c r="G27" s="188">
        <f t="shared" si="4"/>
        <v>0</v>
      </c>
      <c r="H27" s="188">
        <f t="shared" si="4"/>
        <v>408828400</v>
      </c>
      <c r="I27" s="188">
        <f t="shared" si="4"/>
        <v>0</v>
      </c>
      <c r="J27" s="188">
        <f>J28</f>
        <v>595968936</v>
      </c>
      <c r="K27" s="188">
        <f t="shared" si="4"/>
        <v>0</v>
      </c>
      <c r="L27" s="188">
        <f t="shared" si="4"/>
        <v>0</v>
      </c>
      <c r="M27" s="188">
        <f t="shared" si="4"/>
        <v>0</v>
      </c>
      <c r="N27" s="178"/>
      <c r="O27" s="178"/>
    </row>
    <row r="28" spans="2:15" ht="13.5">
      <c r="B28" s="182" t="s">
        <v>352</v>
      </c>
      <c r="C28" s="205" t="s">
        <v>353</v>
      </c>
      <c r="D28" s="188">
        <f aca="true" t="shared" si="5" ref="D28:M28">D29+D47</f>
        <v>408828400</v>
      </c>
      <c r="E28" s="188">
        <f t="shared" si="5"/>
        <v>0</v>
      </c>
      <c r="F28" s="316">
        <f t="shared" si="5"/>
        <v>0</v>
      </c>
      <c r="G28" s="188">
        <f t="shared" si="5"/>
        <v>0</v>
      </c>
      <c r="H28" s="188">
        <f t="shared" si="5"/>
        <v>408828400</v>
      </c>
      <c r="I28" s="188">
        <f t="shared" si="5"/>
        <v>0</v>
      </c>
      <c r="J28" s="188">
        <f>+J29</f>
        <v>595968936</v>
      </c>
      <c r="K28" s="188">
        <f t="shared" si="5"/>
        <v>0</v>
      </c>
      <c r="L28" s="188">
        <f t="shared" si="5"/>
        <v>0</v>
      </c>
      <c r="M28" s="188">
        <f t="shared" si="5"/>
        <v>0</v>
      </c>
      <c r="N28" s="178"/>
      <c r="O28" s="178"/>
    </row>
    <row r="29" spans="2:15" ht="13.5">
      <c r="B29" s="182" t="s">
        <v>354</v>
      </c>
      <c r="C29" s="205" t="s">
        <v>355</v>
      </c>
      <c r="D29" s="188">
        <f>D30</f>
        <v>595968936</v>
      </c>
      <c r="E29" s="188">
        <f aca="true" t="shared" si="6" ref="E29:M29">E30</f>
        <v>0</v>
      </c>
      <c r="F29" s="316">
        <f t="shared" si="6"/>
        <v>0</v>
      </c>
      <c r="G29" s="188">
        <f t="shared" si="6"/>
        <v>0</v>
      </c>
      <c r="H29" s="188">
        <f t="shared" si="6"/>
        <v>595968936</v>
      </c>
      <c r="I29" s="188">
        <f t="shared" si="6"/>
        <v>0</v>
      </c>
      <c r="J29" s="188">
        <f>J30</f>
        <v>595968936</v>
      </c>
      <c r="K29" s="188">
        <f t="shared" si="6"/>
        <v>0</v>
      </c>
      <c r="L29" s="188">
        <f t="shared" si="6"/>
        <v>0</v>
      </c>
      <c r="M29" s="188">
        <f t="shared" si="6"/>
        <v>0</v>
      </c>
      <c r="N29" s="178"/>
      <c r="O29" s="178"/>
    </row>
    <row r="30" spans="2:15" ht="13.5">
      <c r="B30" s="182" t="s">
        <v>356</v>
      </c>
      <c r="C30" s="205" t="s">
        <v>357</v>
      </c>
      <c r="D30" s="188">
        <f>SUM(D31:D44)</f>
        <v>595968936</v>
      </c>
      <c r="E30" s="188">
        <f aca="true" t="shared" si="7" ref="E30:M30">SUM(E31:E44)</f>
        <v>0</v>
      </c>
      <c r="F30" s="316">
        <f t="shared" si="7"/>
        <v>0</v>
      </c>
      <c r="G30" s="188">
        <f t="shared" si="7"/>
        <v>0</v>
      </c>
      <c r="H30" s="188">
        <f t="shared" si="7"/>
        <v>595968936</v>
      </c>
      <c r="I30" s="188">
        <f t="shared" si="7"/>
        <v>0</v>
      </c>
      <c r="J30" s="188">
        <f>SUM(J31:J44)</f>
        <v>595968936</v>
      </c>
      <c r="K30" s="188">
        <f t="shared" si="7"/>
        <v>0</v>
      </c>
      <c r="L30" s="188">
        <f t="shared" si="7"/>
        <v>0</v>
      </c>
      <c r="M30" s="188">
        <f t="shared" si="7"/>
        <v>0</v>
      </c>
      <c r="N30" s="178"/>
      <c r="O30" s="178"/>
    </row>
    <row r="31" spans="1:15" s="169" customFormat="1" ht="13.5">
      <c r="A31" s="218"/>
      <c r="B31" s="182" t="s">
        <v>358</v>
      </c>
      <c r="C31" s="182" t="s">
        <v>359</v>
      </c>
      <c r="D31" s="181">
        <v>47349302</v>
      </c>
      <c r="E31" s="181">
        <v>0</v>
      </c>
      <c r="F31" s="315">
        <v>0</v>
      </c>
      <c r="G31" s="177">
        <v>0</v>
      </c>
      <c r="H31" s="177">
        <f>D31-E31+F31-G31</f>
        <v>47349302</v>
      </c>
      <c r="I31" s="177">
        <v>0</v>
      </c>
      <c r="J31" s="177">
        <f>H31</f>
        <v>47349302</v>
      </c>
      <c r="K31" s="177">
        <f aca="true" t="shared" si="8" ref="K31:K44">I31</f>
        <v>0</v>
      </c>
      <c r="L31" s="177">
        <v>0</v>
      </c>
      <c r="M31" s="177">
        <f aca="true" t="shared" si="9" ref="M31:M44">K31</f>
        <v>0</v>
      </c>
      <c r="N31" s="173"/>
      <c r="O31" s="173"/>
    </row>
    <row r="32" spans="1:15" s="169" customFormat="1" ht="13.5">
      <c r="A32" s="218"/>
      <c r="B32" s="182" t="s">
        <v>360</v>
      </c>
      <c r="C32" s="182" t="s">
        <v>361</v>
      </c>
      <c r="D32" s="181">
        <v>0</v>
      </c>
      <c r="E32" s="181">
        <v>0</v>
      </c>
      <c r="F32" s="315">
        <v>0</v>
      </c>
      <c r="G32" s="177">
        <v>0</v>
      </c>
      <c r="H32" s="177">
        <f>D32+E32-F32</f>
        <v>0</v>
      </c>
      <c r="I32" s="177">
        <v>0</v>
      </c>
      <c r="J32" s="177">
        <f>D32</f>
        <v>0</v>
      </c>
      <c r="K32" s="177">
        <f t="shared" si="8"/>
        <v>0</v>
      </c>
      <c r="L32" s="177">
        <f>J32</f>
        <v>0</v>
      </c>
      <c r="M32" s="177">
        <f t="shared" si="9"/>
        <v>0</v>
      </c>
      <c r="N32" s="173"/>
      <c r="O32" s="173"/>
    </row>
    <row r="33" spans="1:15" s="169" customFormat="1" ht="13.5">
      <c r="A33" s="218"/>
      <c r="B33" s="182" t="s">
        <v>362</v>
      </c>
      <c r="C33" s="182" t="s">
        <v>363</v>
      </c>
      <c r="D33" s="181">
        <v>290200794</v>
      </c>
      <c r="E33" s="181">
        <v>0</v>
      </c>
      <c r="F33" s="315">
        <v>0</v>
      </c>
      <c r="G33" s="177">
        <v>0</v>
      </c>
      <c r="H33" s="177">
        <f aca="true" t="shared" si="10" ref="H33:H47">D33-E33+F33-G33</f>
        <v>290200794</v>
      </c>
      <c r="I33" s="177">
        <v>0</v>
      </c>
      <c r="J33" s="177">
        <f aca="true" t="shared" si="11" ref="J33:J44">H33</f>
        <v>290200794</v>
      </c>
      <c r="K33" s="177">
        <f t="shared" si="8"/>
        <v>0</v>
      </c>
      <c r="L33" s="177">
        <v>0</v>
      </c>
      <c r="M33" s="177">
        <f t="shared" si="9"/>
        <v>0</v>
      </c>
      <c r="N33" s="173"/>
      <c r="O33" s="173"/>
    </row>
    <row r="34" spans="1:15" s="169" customFormat="1" ht="13.5">
      <c r="A34" s="218"/>
      <c r="B34" s="182" t="s">
        <v>364</v>
      </c>
      <c r="C34" s="182" t="s">
        <v>472</v>
      </c>
      <c r="D34" s="181">
        <v>0</v>
      </c>
      <c r="E34" s="181">
        <v>0</v>
      </c>
      <c r="F34" s="315">
        <v>0</v>
      </c>
      <c r="G34" s="177">
        <v>0</v>
      </c>
      <c r="H34" s="177">
        <f t="shared" si="10"/>
        <v>0</v>
      </c>
      <c r="I34" s="177">
        <v>0</v>
      </c>
      <c r="J34" s="177">
        <f t="shared" si="11"/>
        <v>0</v>
      </c>
      <c r="K34" s="177">
        <f t="shared" si="8"/>
        <v>0</v>
      </c>
      <c r="L34" s="177">
        <v>0</v>
      </c>
      <c r="M34" s="177">
        <f t="shared" si="9"/>
        <v>0</v>
      </c>
      <c r="N34" s="173"/>
      <c r="O34" s="173"/>
    </row>
    <row r="35" spans="1:15" s="169" customFormat="1" ht="13.5">
      <c r="A35" s="218"/>
      <c r="B35" s="182" t="s">
        <v>365</v>
      </c>
      <c r="C35" s="182" t="s">
        <v>471</v>
      </c>
      <c r="D35" s="181">
        <f>20146946+34280170</f>
        <v>54427116</v>
      </c>
      <c r="E35" s="181">
        <v>0</v>
      </c>
      <c r="F35" s="315">
        <v>0</v>
      </c>
      <c r="G35" s="177">
        <v>0</v>
      </c>
      <c r="H35" s="177">
        <f t="shared" si="10"/>
        <v>54427116</v>
      </c>
      <c r="I35" s="177">
        <v>0</v>
      </c>
      <c r="J35" s="177">
        <f t="shared" si="11"/>
        <v>54427116</v>
      </c>
      <c r="K35" s="177">
        <f t="shared" si="8"/>
        <v>0</v>
      </c>
      <c r="L35" s="177">
        <v>0</v>
      </c>
      <c r="M35" s="177">
        <f t="shared" si="9"/>
        <v>0</v>
      </c>
      <c r="N35" s="173"/>
      <c r="O35" s="173"/>
    </row>
    <row r="36" spans="1:15" s="169" customFormat="1" ht="13.5">
      <c r="A36" s="218"/>
      <c r="B36" s="182" t="s">
        <v>462</v>
      </c>
      <c r="C36" s="182" t="s">
        <v>463</v>
      </c>
      <c r="D36" s="181">
        <v>74397075</v>
      </c>
      <c r="E36" s="181">
        <v>0</v>
      </c>
      <c r="F36" s="315">
        <v>0</v>
      </c>
      <c r="G36" s="177">
        <v>0</v>
      </c>
      <c r="H36" s="177">
        <f t="shared" si="10"/>
        <v>74397075</v>
      </c>
      <c r="I36" s="177">
        <v>0</v>
      </c>
      <c r="J36" s="177">
        <f t="shared" si="11"/>
        <v>74397075</v>
      </c>
      <c r="K36" s="177">
        <f t="shared" si="8"/>
        <v>0</v>
      </c>
      <c r="L36" s="177">
        <v>0</v>
      </c>
      <c r="M36" s="177">
        <f t="shared" si="9"/>
        <v>0</v>
      </c>
      <c r="N36" s="173"/>
      <c r="O36" s="173"/>
    </row>
    <row r="37" spans="1:15" s="169" customFormat="1" ht="13.5">
      <c r="A37" s="218"/>
      <c r="B37" s="182" t="s">
        <v>464</v>
      </c>
      <c r="C37" s="182" t="s">
        <v>465</v>
      </c>
      <c r="D37" s="181">
        <v>0</v>
      </c>
      <c r="E37" s="181">
        <v>0</v>
      </c>
      <c r="F37" s="315">
        <v>0</v>
      </c>
      <c r="G37" s="177">
        <v>0</v>
      </c>
      <c r="H37" s="177">
        <f t="shared" si="10"/>
        <v>0</v>
      </c>
      <c r="I37" s="177">
        <v>0</v>
      </c>
      <c r="J37" s="177">
        <f t="shared" si="11"/>
        <v>0</v>
      </c>
      <c r="K37" s="177">
        <f t="shared" si="8"/>
        <v>0</v>
      </c>
      <c r="L37" s="177">
        <v>0</v>
      </c>
      <c r="M37" s="177">
        <f t="shared" si="9"/>
        <v>0</v>
      </c>
      <c r="N37" s="173"/>
      <c r="O37" s="173"/>
    </row>
    <row r="38" spans="1:15" s="169" customFormat="1" ht="13.5">
      <c r="A38" s="218"/>
      <c r="B38" s="182" t="s">
        <v>466</v>
      </c>
      <c r="C38" s="182" t="s">
        <v>467</v>
      </c>
      <c r="D38" s="181">
        <v>0</v>
      </c>
      <c r="E38" s="181">
        <v>0</v>
      </c>
      <c r="F38" s="315">
        <v>0</v>
      </c>
      <c r="G38" s="177">
        <v>0</v>
      </c>
      <c r="H38" s="177">
        <f t="shared" si="10"/>
        <v>0</v>
      </c>
      <c r="I38" s="177">
        <v>0</v>
      </c>
      <c r="J38" s="177">
        <f t="shared" si="11"/>
        <v>0</v>
      </c>
      <c r="K38" s="177">
        <f t="shared" si="8"/>
        <v>0</v>
      </c>
      <c r="L38" s="177">
        <v>0</v>
      </c>
      <c r="M38" s="177">
        <f t="shared" si="9"/>
        <v>0</v>
      </c>
      <c r="N38" s="173"/>
      <c r="O38" s="173"/>
    </row>
    <row r="39" spans="1:15" s="169" customFormat="1" ht="13.5">
      <c r="A39" s="218"/>
      <c r="B39" s="182" t="s">
        <v>468</v>
      </c>
      <c r="C39" s="182" t="s">
        <v>469</v>
      </c>
      <c r="D39" s="181">
        <v>8265661</v>
      </c>
      <c r="E39" s="181">
        <v>0</v>
      </c>
      <c r="F39" s="315">
        <v>0</v>
      </c>
      <c r="G39" s="177">
        <v>0</v>
      </c>
      <c r="H39" s="177">
        <f t="shared" si="10"/>
        <v>8265661</v>
      </c>
      <c r="I39" s="177">
        <v>0</v>
      </c>
      <c r="J39" s="177">
        <f t="shared" si="11"/>
        <v>8265661</v>
      </c>
      <c r="K39" s="177">
        <f t="shared" si="8"/>
        <v>0</v>
      </c>
      <c r="L39" s="177">
        <v>0</v>
      </c>
      <c r="M39" s="177">
        <f t="shared" si="9"/>
        <v>0</v>
      </c>
      <c r="N39" s="173"/>
      <c r="O39" s="173"/>
    </row>
    <row r="40" spans="1:15" s="169" customFormat="1" ht="13.5">
      <c r="A40" s="218"/>
      <c r="B40" s="182" t="s">
        <v>366</v>
      </c>
      <c r="C40" s="182" t="s">
        <v>367</v>
      </c>
      <c r="D40" s="181">
        <v>1501144</v>
      </c>
      <c r="E40" s="181">
        <v>0</v>
      </c>
      <c r="F40" s="315">
        <v>0</v>
      </c>
      <c r="G40" s="177">
        <v>0</v>
      </c>
      <c r="H40" s="177">
        <f t="shared" si="10"/>
        <v>1501144</v>
      </c>
      <c r="I40" s="177">
        <v>0</v>
      </c>
      <c r="J40" s="177">
        <f t="shared" si="11"/>
        <v>1501144</v>
      </c>
      <c r="K40" s="177">
        <f t="shared" si="8"/>
        <v>0</v>
      </c>
      <c r="L40" s="177">
        <v>0</v>
      </c>
      <c r="M40" s="177">
        <f t="shared" si="9"/>
        <v>0</v>
      </c>
      <c r="N40" s="173"/>
      <c r="O40" s="173"/>
    </row>
    <row r="41" spans="1:15" s="169" customFormat="1" ht="13.5">
      <c r="A41" s="218"/>
      <c r="B41" s="182" t="s">
        <v>368</v>
      </c>
      <c r="C41" s="182" t="s">
        <v>369</v>
      </c>
      <c r="D41" s="181">
        <v>69464144</v>
      </c>
      <c r="E41" s="181">
        <v>0</v>
      </c>
      <c r="F41" s="315">
        <v>0</v>
      </c>
      <c r="G41" s="177">
        <v>0</v>
      </c>
      <c r="H41" s="177">
        <f t="shared" si="10"/>
        <v>69464144</v>
      </c>
      <c r="I41" s="177">
        <v>0</v>
      </c>
      <c r="J41" s="177">
        <f t="shared" si="11"/>
        <v>69464144</v>
      </c>
      <c r="K41" s="177">
        <f t="shared" si="8"/>
        <v>0</v>
      </c>
      <c r="L41" s="177">
        <v>0</v>
      </c>
      <c r="M41" s="177">
        <f t="shared" si="9"/>
        <v>0</v>
      </c>
      <c r="N41" s="173"/>
      <c r="O41" s="173"/>
    </row>
    <row r="42" spans="1:15" s="169" customFormat="1" ht="13.5">
      <c r="A42" s="218"/>
      <c r="B42" s="182" t="s">
        <v>470</v>
      </c>
      <c r="C42" s="182" t="s">
        <v>511</v>
      </c>
      <c r="D42" s="181">
        <v>48978700</v>
      </c>
      <c r="E42" s="181">
        <v>0</v>
      </c>
      <c r="F42" s="315">
        <v>0</v>
      </c>
      <c r="G42" s="177">
        <v>0</v>
      </c>
      <c r="H42" s="177">
        <f t="shared" si="10"/>
        <v>48978700</v>
      </c>
      <c r="I42" s="177">
        <v>0</v>
      </c>
      <c r="J42" s="177">
        <f t="shared" si="11"/>
        <v>48978700</v>
      </c>
      <c r="K42" s="177">
        <f t="shared" si="8"/>
        <v>0</v>
      </c>
      <c r="L42" s="177">
        <v>0</v>
      </c>
      <c r="M42" s="177">
        <f t="shared" si="9"/>
        <v>0</v>
      </c>
      <c r="N42" s="173"/>
      <c r="O42" s="173"/>
    </row>
    <row r="43" spans="1:15" s="169" customFormat="1" ht="13.5">
      <c r="A43" s="218"/>
      <c r="B43" s="182" t="s">
        <v>370</v>
      </c>
      <c r="C43" s="182" t="s">
        <v>371</v>
      </c>
      <c r="D43" s="181">
        <v>1385000</v>
      </c>
      <c r="E43" s="181">
        <v>0</v>
      </c>
      <c r="F43" s="315">
        <v>0</v>
      </c>
      <c r="G43" s="177">
        <v>0</v>
      </c>
      <c r="H43" s="177">
        <f t="shared" si="10"/>
        <v>1385000</v>
      </c>
      <c r="I43" s="177">
        <v>0</v>
      </c>
      <c r="J43" s="177">
        <f t="shared" si="11"/>
        <v>1385000</v>
      </c>
      <c r="K43" s="177">
        <f t="shared" si="8"/>
        <v>0</v>
      </c>
      <c r="L43" s="177">
        <v>0</v>
      </c>
      <c r="M43" s="177">
        <f t="shared" si="9"/>
        <v>0</v>
      </c>
      <c r="N43" s="173"/>
      <c r="O43" s="173"/>
    </row>
    <row r="44" spans="1:15" s="169" customFormat="1" ht="13.5">
      <c r="A44" s="218"/>
      <c r="B44" s="182" t="s">
        <v>372</v>
      </c>
      <c r="C44" s="182" t="s">
        <v>373</v>
      </c>
      <c r="D44" s="181">
        <v>0</v>
      </c>
      <c r="E44" s="181">
        <v>0</v>
      </c>
      <c r="F44" s="315">
        <v>0</v>
      </c>
      <c r="G44" s="177">
        <v>0</v>
      </c>
      <c r="H44" s="177">
        <f t="shared" si="10"/>
        <v>0</v>
      </c>
      <c r="I44" s="177">
        <v>0</v>
      </c>
      <c r="J44" s="177">
        <f t="shared" si="11"/>
        <v>0</v>
      </c>
      <c r="K44" s="177">
        <f t="shared" si="8"/>
        <v>0</v>
      </c>
      <c r="L44" s="177">
        <v>0</v>
      </c>
      <c r="M44" s="177">
        <f t="shared" si="9"/>
        <v>0</v>
      </c>
      <c r="N44" s="173"/>
      <c r="O44" s="173"/>
    </row>
    <row r="45" spans="2:15" ht="13.5">
      <c r="B45" s="182"/>
      <c r="C45" s="182"/>
      <c r="D45" s="181"/>
      <c r="E45" s="181"/>
      <c r="F45" s="315"/>
      <c r="G45" s="177"/>
      <c r="H45" s="177">
        <f t="shared" si="10"/>
        <v>0</v>
      </c>
      <c r="I45" s="177"/>
      <c r="J45" s="177"/>
      <c r="K45" s="177"/>
      <c r="L45" s="177"/>
      <c r="M45" s="177"/>
      <c r="N45" s="178"/>
      <c r="O45" s="178"/>
    </row>
    <row r="46" spans="2:15" ht="13.5">
      <c r="B46" s="182" t="s">
        <v>374</v>
      </c>
      <c r="C46" s="205" t="s">
        <v>375</v>
      </c>
      <c r="D46" s="188">
        <f>D47</f>
        <v>-187140536</v>
      </c>
      <c r="E46" s="188">
        <f aca="true" t="shared" si="12" ref="E46:M46">E47</f>
        <v>0</v>
      </c>
      <c r="F46" s="316">
        <f t="shared" si="12"/>
        <v>0</v>
      </c>
      <c r="G46" s="188">
        <f t="shared" si="12"/>
        <v>0</v>
      </c>
      <c r="H46" s="311">
        <f t="shared" si="10"/>
        <v>-187140536</v>
      </c>
      <c r="I46" s="188">
        <f t="shared" si="12"/>
        <v>0</v>
      </c>
      <c r="J46" s="188">
        <f t="shared" si="12"/>
        <v>-187140536</v>
      </c>
      <c r="K46" s="188">
        <f t="shared" si="12"/>
        <v>0</v>
      </c>
      <c r="L46" s="188">
        <f t="shared" si="12"/>
        <v>0</v>
      </c>
      <c r="M46" s="188">
        <f t="shared" si="12"/>
        <v>0</v>
      </c>
      <c r="N46" s="178"/>
      <c r="O46" s="178"/>
    </row>
    <row r="47" spans="2:15" ht="13.5">
      <c r="B47" s="182" t="s">
        <v>376</v>
      </c>
      <c r="C47" s="182" t="s">
        <v>377</v>
      </c>
      <c r="D47" s="181">
        <v>-187140536</v>
      </c>
      <c r="E47" s="181">
        <v>0</v>
      </c>
      <c r="F47" s="315">
        <v>0</v>
      </c>
      <c r="G47" s="177">
        <v>0</v>
      </c>
      <c r="H47" s="177">
        <f t="shared" si="10"/>
        <v>-187140536</v>
      </c>
      <c r="I47" s="177">
        <v>0</v>
      </c>
      <c r="J47" s="177">
        <f>H47</f>
        <v>-187140536</v>
      </c>
      <c r="K47" s="177">
        <f>I47</f>
        <v>0</v>
      </c>
      <c r="L47" s="177">
        <v>0</v>
      </c>
      <c r="M47" s="177">
        <v>0</v>
      </c>
      <c r="N47" s="178"/>
      <c r="O47" s="178"/>
    </row>
    <row r="48" spans="2:15" ht="13.5">
      <c r="B48" s="182"/>
      <c r="C48" s="206"/>
      <c r="D48" s="189"/>
      <c r="E48" s="189"/>
      <c r="F48" s="315"/>
      <c r="G48" s="177"/>
      <c r="H48" s="177"/>
      <c r="I48" s="177"/>
      <c r="J48" s="177"/>
      <c r="K48" s="177"/>
      <c r="L48" s="177"/>
      <c r="M48" s="177"/>
      <c r="N48" s="178"/>
      <c r="O48" s="178"/>
    </row>
    <row r="49" spans="2:15" ht="13.5">
      <c r="B49" s="182" t="s">
        <v>378</v>
      </c>
      <c r="C49" s="207" t="s">
        <v>334</v>
      </c>
      <c r="D49" s="189"/>
      <c r="E49" s="189"/>
      <c r="F49" s="315"/>
      <c r="G49" s="177"/>
      <c r="H49" s="177"/>
      <c r="I49" s="177"/>
      <c r="J49" s="177"/>
      <c r="K49" s="311">
        <f>+K50</f>
        <v>2348309</v>
      </c>
      <c r="L49" s="177"/>
      <c r="M49" s="177"/>
      <c r="N49" s="178"/>
      <c r="O49" s="178"/>
    </row>
    <row r="50" spans="2:15" ht="15" customHeight="1">
      <c r="B50" s="182" t="s">
        <v>379</v>
      </c>
      <c r="C50" s="205" t="s">
        <v>380</v>
      </c>
      <c r="D50" s="188" t="e">
        <f>D51+#REF!</f>
        <v>#REF!</v>
      </c>
      <c r="E50" s="188" t="e">
        <f>E51+#REF!</f>
        <v>#REF!</v>
      </c>
      <c r="F50" s="316" t="e">
        <f>F51+#REF!</f>
        <v>#REF!</v>
      </c>
      <c r="G50" s="188" t="e">
        <f>G51+#REF!</f>
        <v>#REF!</v>
      </c>
      <c r="H50" s="188" t="e">
        <f>H51+#REF!</f>
        <v>#REF!</v>
      </c>
      <c r="I50" s="188" t="e">
        <f>I51+#REF!</f>
        <v>#REF!</v>
      </c>
      <c r="J50" s="188">
        <v>0</v>
      </c>
      <c r="K50" s="188">
        <f>+K51</f>
        <v>2348309</v>
      </c>
      <c r="L50" s="188" t="e">
        <f>L51+#REF!</f>
        <v>#REF!</v>
      </c>
      <c r="M50" s="188" t="e">
        <f>M51+#REF!</f>
        <v>#REF!</v>
      </c>
      <c r="N50" s="178"/>
      <c r="O50" s="178"/>
    </row>
    <row r="51" spans="2:15" ht="15" customHeight="1">
      <c r="B51" s="182" t="s">
        <v>381</v>
      </c>
      <c r="C51" s="205" t="s">
        <v>382</v>
      </c>
      <c r="D51" s="188">
        <f aca="true" t="shared" si="13" ref="D51:M51">SUM(D52:D53)</f>
        <v>0</v>
      </c>
      <c r="E51" s="188">
        <f>SUM(E52:E53)</f>
        <v>0</v>
      </c>
      <c r="F51" s="316">
        <f t="shared" si="13"/>
        <v>0</v>
      </c>
      <c r="G51" s="188">
        <f t="shared" si="13"/>
        <v>2348310</v>
      </c>
      <c r="H51" s="188">
        <f t="shared" si="13"/>
        <v>0</v>
      </c>
      <c r="I51" s="188">
        <f t="shared" si="13"/>
        <v>2348310</v>
      </c>
      <c r="J51" s="188">
        <f t="shared" si="13"/>
        <v>0</v>
      </c>
      <c r="K51" s="188">
        <f t="shared" si="13"/>
        <v>2348309</v>
      </c>
      <c r="L51" s="188">
        <f t="shared" si="13"/>
        <v>0</v>
      </c>
      <c r="M51" s="188">
        <f t="shared" si="13"/>
        <v>0</v>
      </c>
      <c r="N51" s="178"/>
      <c r="O51" s="178"/>
    </row>
    <row r="52" spans="2:15" ht="15" customHeight="1">
      <c r="B52" s="182" t="s">
        <v>383</v>
      </c>
      <c r="C52" s="182" t="s">
        <v>384</v>
      </c>
      <c r="D52" s="181">
        <v>0</v>
      </c>
      <c r="E52" s="181">
        <v>0</v>
      </c>
      <c r="F52" s="315">
        <v>0</v>
      </c>
      <c r="G52" s="177">
        <v>2348310</v>
      </c>
      <c r="H52" s="177">
        <v>0</v>
      </c>
      <c r="I52" s="177">
        <f>E52-F52+G52</f>
        <v>2348310</v>
      </c>
      <c r="J52" s="177">
        <f>D52</f>
        <v>0</v>
      </c>
      <c r="K52" s="177">
        <v>2348309</v>
      </c>
      <c r="L52" s="181">
        <v>0</v>
      </c>
      <c r="M52" s="181">
        <v>0</v>
      </c>
      <c r="N52" s="178"/>
      <c r="O52" s="178"/>
    </row>
    <row r="53" spans="2:15" ht="15" customHeight="1" hidden="1">
      <c r="B53" s="182" t="s">
        <v>385</v>
      </c>
      <c r="C53" s="182" t="s">
        <v>384</v>
      </c>
      <c r="D53" s="181">
        <v>0</v>
      </c>
      <c r="E53" s="181">
        <v>0</v>
      </c>
      <c r="F53" s="317">
        <v>0</v>
      </c>
      <c r="G53" s="189">
        <v>0</v>
      </c>
      <c r="H53" s="189">
        <v>0</v>
      </c>
      <c r="I53" s="189">
        <v>0</v>
      </c>
      <c r="J53" s="177">
        <f>D53</f>
        <v>0</v>
      </c>
      <c r="K53" s="177"/>
      <c r="L53" s="181">
        <v>0</v>
      </c>
      <c r="M53" s="181">
        <v>0</v>
      </c>
      <c r="N53" s="178"/>
      <c r="O53" s="178"/>
    </row>
    <row r="54" spans="2:15" ht="15" customHeight="1" hidden="1">
      <c r="B54" s="182"/>
      <c r="C54" s="205"/>
      <c r="D54" s="181"/>
      <c r="E54" s="181"/>
      <c r="F54" s="317"/>
      <c r="G54" s="189"/>
      <c r="H54" s="189"/>
      <c r="I54" s="189"/>
      <c r="J54" s="177"/>
      <c r="K54" s="177"/>
      <c r="L54" s="181"/>
      <c r="M54" s="181"/>
      <c r="N54" s="178"/>
      <c r="O54" s="178"/>
    </row>
    <row r="55" spans="2:15" ht="15" customHeight="1">
      <c r="B55" s="182"/>
      <c r="C55" s="208"/>
      <c r="D55" s="187"/>
      <c r="E55" s="181"/>
      <c r="F55" s="315"/>
      <c r="G55" s="189"/>
      <c r="H55" s="189"/>
      <c r="I55" s="189"/>
      <c r="J55" s="177"/>
      <c r="K55" s="177"/>
      <c r="L55" s="181"/>
      <c r="M55" s="181"/>
      <c r="N55" s="178"/>
      <c r="O55" s="178"/>
    </row>
    <row r="56" spans="2:15" ht="15" customHeight="1">
      <c r="B56" s="182" t="s">
        <v>386</v>
      </c>
      <c r="C56" s="214" t="s">
        <v>387</v>
      </c>
      <c r="D56" s="194" t="e">
        <f aca="true" t="shared" si="14" ref="D56:I56">D57+D60+D65+D67</f>
        <v>#REF!</v>
      </c>
      <c r="E56" s="194" t="e">
        <f t="shared" si="14"/>
        <v>#REF!</v>
      </c>
      <c r="F56" s="318" t="e">
        <f t="shared" si="14"/>
        <v>#REF!</v>
      </c>
      <c r="G56" s="194" t="e">
        <f t="shared" si="14"/>
        <v>#REF!</v>
      </c>
      <c r="H56" s="194" t="e">
        <f t="shared" si="14"/>
        <v>#REF!</v>
      </c>
      <c r="I56" s="194" t="e">
        <f t="shared" si="14"/>
        <v>#REF!</v>
      </c>
      <c r="J56" s="194">
        <v>0</v>
      </c>
      <c r="K56" s="194">
        <f>K57+K60+K65+K67</f>
        <v>503957868</v>
      </c>
      <c r="L56" s="194" t="e">
        <f>L57+L60+L65+L67</f>
        <v>#REF!</v>
      </c>
      <c r="M56" s="194" t="e">
        <f>M57+M60+M65+M67</f>
        <v>#REF!</v>
      </c>
      <c r="N56" s="178"/>
      <c r="O56" s="178"/>
    </row>
    <row r="57" spans="2:15" ht="13.5">
      <c r="B57" s="182" t="s">
        <v>388</v>
      </c>
      <c r="C57" s="214" t="s">
        <v>389</v>
      </c>
      <c r="D57" s="194">
        <f aca="true" t="shared" si="15" ref="D57:M57">D58</f>
        <v>0</v>
      </c>
      <c r="E57" s="194">
        <f t="shared" si="15"/>
        <v>163674641</v>
      </c>
      <c r="F57" s="318">
        <f t="shared" si="15"/>
        <v>0</v>
      </c>
      <c r="G57" s="194">
        <f t="shared" si="15"/>
        <v>0</v>
      </c>
      <c r="H57" s="194">
        <f t="shared" si="15"/>
        <v>0</v>
      </c>
      <c r="I57" s="194">
        <f t="shared" si="15"/>
        <v>163674641</v>
      </c>
      <c r="J57" s="194">
        <f t="shared" si="15"/>
        <v>0</v>
      </c>
      <c r="K57" s="194">
        <f t="shared" si="15"/>
        <v>163674641</v>
      </c>
      <c r="L57" s="194">
        <f t="shared" si="15"/>
        <v>0</v>
      </c>
      <c r="M57" s="194">
        <f t="shared" si="15"/>
        <v>0</v>
      </c>
      <c r="N57" s="178"/>
      <c r="O57" s="178"/>
    </row>
    <row r="58" spans="2:15" ht="13.5">
      <c r="B58" s="182" t="s">
        <v>390</v>
      </c>
      <c r="C58" s="215" t="s">
        <v>391</v>
      </c>
      <c r="D58" s="189">
        <v>0</v>
      </c>
      <c r="E58" s="189">
        <v>163674641</v>
      </c>
      <c r="F58" s="315">
        <f>E58-K58</f>
        <v>0</v>
      </c>
      <c r="G58" s="177">
        <v>0</v>
      </c>
      <c r="H58" s="177">
        <v>0</v>
      </c>
      <c r="I58" s="177">
        <f>K58</f>
        <v>163674641</v>
      </c>
      <c r="J58" s="177">
        <f>D58</f>
        <v>0</v>
      </c>
      <c r="K58" s="177">
        <v>163674641</v>
      </c>
      <c r="L58" s="181">
        <v>0</v>
      </c>
      <c r="M58" s="181">
        <v>0</v>
      </c>
      <c r="N58" s="178"/>
      <c r="O58" s="178"/>
    </row>
    <row r="59" spans="2:15" ht="13.5">
      <c r="B59" s="182"/>
      <c r="C59" s="215"/>
      <c r="D59" s="189"/>
      <c r="E59" s="189"/>
      <c r="F59" s="315"/>
      <c r="G59" s="177"/>
      <c r="H59" s="177"/>
      <c r="I59" s="177"/>
      <c r="J59" s="177"/>
      <c r="K59" s="177"/>
      <c r="L59" s="177"/>
      <c r="M59" s="177"/>
      <c r="N59" s="178"/>
      <c r="O59" s="178"/>
    </row>
    <row r="60" spans="2:15" ht="13.5">
      <c r="B60" s="182" t="s">
        <v>392</v>
      </c>
      <c r="C60" s="214" t="s">
        <v>393</v>
      </c>
      <c r="D60" s="194">
        <f aca="true" t="shared" si="16" ref="D60:M60">D61</f>
        <v>0</v>
      </c>
      <c r="E60" s="194">
        <f t="shared" si="16"/>
        <v>35787274</v>
      </c>
      <c r="F60" s="318">
        <f t="shared" si="16"/>
        <v>0</v>
      </c>
      <c r="G60" s="194">
        <f t="shared" si="16"/>
        <v>0</v>
      </c>
      <c r="H60" s="194">
        <f t="shared" si="16"/>
        <v>0</v>
      </c>
      <c r="I60" s="194">
        <f t="shared" si="16"/>
        <v>35787274</v>
      </c>
      <c r="J60" s="194">
        <f t="shared" si="16"/>
        <v>0</v>
      </c>
      <c r="K60" s="194">
        <f t="shared" si="16"/>
        <v>35787274</v>
      </c>
      <c r="L60" s="194">
        <f t="shared" si="16"/>
        <v>0</v>
      </c>
      <c r="M60" s="194">
        <f t="shared" si="16"/>
        <v>0</v>
      </c>
      <c r="N60" s="178"/>
      <c r="O60" s="178"/>
    </row>
    <row r="61" spans="2:15" ht="13.5">
      <c r="B61" s="182" t="s">
        <v>394</v>
      </c>
      <c r="C61" s="214" t="s">
        <v>395</v>
      </c>
      <c r="D61" s="194">
        <f aca="true" t="shared" si="17" ref="D61:M61">SUM(D62:D63)</f>
        <v>0</v>
      </c>
      <c r="E61" s="194">
        <f t="shared" si="17"/>
        <v>35787274</v>
      </c>
      <c r="F61" s="318">
        <f t="shared" si="17"/>
        <v>0</v>
      </c>
      <c r="G61" s="194">
        <f t="shared" si="17"/>
        <v>0</v>
      </c>
      <c r="H61" s="194">
        <f t="shared" si="17"/>
        <v>0</v>
      </c>
      <c r="I61" s="194">
        <f t="shared" si="17"/>
        <v>35787274</v>
      </c>
      <c r="J61" s="194">
        <f t="shared" si="17"/>
        <v>0</v>
      </c>
      <c r="K61" s="194">
        <f t="shared" si="17"/>
        <v>35787274</v>
      </c>
      <c r="L61" s="194">
        <f t="shared" si="17"/>
        <v>0</v>
      </c>
      <c r="M61" s="194">
        <f t="shared" si="17"/>
        <v>0</v>
      </c>
      <c r="N61" s="178"/>
      <c r="O61" s="178"/>
    </row>
    <row r="62" spans="2:15" ht="13.5">
      <c r="B62" s="182" t="s">
        <v>396</v>
      </c>
      <c r="C62" s="215" t="s">
        <v>397</v>
      </c>
      <c r="D62" s="189">
        <v>0</v>
      </c>
      <c r="E62" s="189">
        <v>0</v>
      </c>
      <c r="F62" s="315">
        <v>0</v>
      </c>
      <c r="G62" s="189">
        <v>0</v>
      </c>
      <c r="H62" s="177">
        <v>0</v>
      </c>
      <c r="I62" s="177">
        <f>E62-F62+G62</f>
        <v>0</v>
      </c>
      <c r="J62" s="177">
        <f>D62</f>
        <v>0</v>
      </c>
      <c r="K62" s="177">
        <f>I62</f>
        <v>0</v>
      </c>
      <c r="L62" s="181">
        <v>0</v>
      </c>
      <c r="M62" s="181">
        <v>0</v>
      </c>
      <c r="N62" s="178"/>
      <c r="O62" s="178"/>
    </row>
    <row r="63" spans="2:15" ht="13.5">
      <c r="B63" s="182" t="s">
        <v>398</v>
      </c>
      <c r="C63" s="215" t="s">
        <v>399</v>
      </c>
      <c r="D63" s="189">
        <v>0</v>
      </c>
      <c r="E63" s="189">
        <v>35787274</v>
      </c>
      <c r="F63" s="315">
        <v>0</v>
      </c>
      <c r="G63" s="177">
        <v>0</v>
      </c>
      <c r="H63" s="177">
        <v>0</v>
      </c>
      <c r="I63" s="177">
        <f>E63-F63+G63</f>
        <v>35787274</v>
      </c>
      <c r="J63" s="177">
        <f>D63</f>
        <v>0</v>
      </c>
      <c r="K63" s="177">
        <f>I63</f>
        <v>35787274</v>
      </c>
      <c r="L63" s="181">
        <v>0</v>
      </c>
      <c r="M63" s="181">
        <v>0</v>
      </c>
      <c r="N63" s="178"/>
      <c r="O63" s="178"/>
    </row>
    <row r="64" spans="2:15" ht="15" customHeight="1">
      <c r="B64" s="182"/>
      <c r="C64" s="216"/>
      <c r="D64" s="189"/>
      <c r="E64" s="189"/>
      <c r="F64" s="315"/>
      <c r="G64" s="177"/>
      <c r="H64" s="177"/>
      <c r="I64" s="177"/>
      <c r="J64" s="177"/>
      <c r="K64" s="177"/>
      <c r="L64" s="181"/>
      <c r="M64" s="181"/>
      <c r="N64" s="178"/>
      <c r="O64" s="178"/>
    </row>
    <row r="65" spans="2:15" ht="18" customHeight="1">
      <c r="B65" s="182" t="s">
        <v>400</v>
      </c>
      <c r="C65" s="214" t="s">
        <v>401</v>
      </c>
      <c r="D65" s="194" t="e">
        <f>#REF!</f>
        <v>#REF!</v>
      </c>
      <c r="E65" s="194" t="e">
        <f>#REF!</f>
        <v>#REF!</v>
      </c>
      <c r="F65" s="318" t="e">
        <f>#REF!</f>
        <v>#REF!</v>
      </c>
      <c r="G65" s="194" t="e">
        <f>#REF!</f>
        <v>#REF!</v>
      </c>
      <c r="H65" s="194" t="e">
        <f>#REF!</f>
        <v>#REF!</v>
      </c>
      <c r="I65" s="194" t="e">
        <f>#REF!</f>
        <v>#REF!</v>
      </c>
      <c r="J65" s="194">
        <v>0</v>
      </c>
      <c r="K65" s="194">
        <f>+K66</f>
        <v>304495953</v>
      </c>
      <c r="L65" s="194" t="e">
        <f>#REF!</f>
        <v>#REF!</v>
      </c>
      <c r="M65" s="194" t="e">
        <f>#REF!</f>
        <v>#REF!</v>
      </c>
      <c r="N65" s="178"/>
      <c r="O65" s="178"/>
    </row>
    <row r="66" spans="2:15" ht="13.5">
      <c r="B66" s="182" t="s">
        <v>402</v>
      </c>
      <c r="C66" s="215" t="s">
        <v>403</v>
      </c>
      <c r="D66" s="189">
        <v>0</v>
      </c>
      <c r="E66" s="189">
        <v>516840907</v>
      </c>
      <c r="F66" s="317">
        <v>0</v>
      </c>
      <c r="G66" s="189">
        <v>0</v>
      </c>
      <c r="H66" s="189">
        <v>0</v>
      </c>
      <c r="I66" s="189">
        <f>E66+G66</f>
        <v>516840907</v>
      </c>
      <c r="J66" s="177">
        <f>D66</f>
        <v>0</v>
      </c>
      <c r="K66" s="177">
        <v>304495953</v>
      </c>
      <c r="L66" s="181">
        <v>0</v>
      </c>
      <c r="M66" s="181">
        <v>0</v>
      </c>
      <c r="N66" s="178"/>
      <c r="O66" s="178"/>
    </row>
    <row r="67" spans="2:15" ht="13.5">
      <c r="B67" s="182" t="s">
        <v>404</v>
      </c>
      <c r="C67" s="214" t="s">
        <v>405</v>
      </c>
      <c r="D67" s="194" t="e">
        <f>D68+#REF!</f>
        <v>#REF!</v>
      </c>
      <c r="E67" s="194" t="e">
        <f>E68+#REF!</f>
        <v>#REF!</v>
      </c>
      <c r="F67" s="318" t="e">
        <f>F68+#REF!</f>
        <v>#REF!</v>
      </c>
      <c r="G67" s="194" t="e">
        <f>G68+#REF!</f>
        <v>#REF!</v>
      </c>
      <c r="H67" s="194" t="e">
        <f>H68+#REF!</f>
        <v>#REF!</v>
      </c>
      <c r="I67" s="194" t="e">
        <f>I68+#REF!</f>
        <v>#REF!</v>
      </c>
      <c r="J67" s="194">
        <v>0</v>
      </c>
      <c r="K67" s="194">
        <f>+K68</f>
        <v>0</v>
      </c>
      <c r="L67" s="194" t="e">
        <f>L68+#REF!</f>
        <v>#REF!</v>
      </c>
      <c r="M67" s="194" t="e">
        <f>M68+#REF!</f>
        <v>#REF!</v>
      </c>
      <c r="N67" s="178"/>
      <c r="O67" s="178"/>
    </row>
    <row r="68" spans="2:15" ht="13.5">
      <c r="B68" s="182" t="s">
        <v>406</v>
      </c>
      <c r="C68" s="215" t="s">
        <v>407</v>
      </c>
      <c r="D68" s="189">
        <v>0</v>
      </c>
      <c r="E68" s="189">
        <v>-150654047</v>
      </c>
      <c r="F68" s="315">
        <v>875720566</v>
      </c>
      <c r="G68" s="177">
        <v>0</v>
      </c>
      <c r="H68" s="189">
        <v>0</v>
      </c>
      <c r="I68" s="189">
        <f>E68-F68+G68-H68</f>
        <v>-1026374613</v>
      </c>
      <c r="J68" s="177">
        <f>D68</f>
        <v>0</v>
      </c>
      <c r="K68" s="177">
        <v>0</v>
      </c>
      <c r="L68" s="181">
        <v>0</v>
      </c>
      <c r="M68" s="181">
        <v>0</v>
      </c>
      <c r="N68" s="178"/>
      <c r="O68" s="178"/>
    </row>
    <row r="69" spans="2:13" ht="13.5">
      <c r="B69" s="191"/>
      <c r="C69" s="185"/>
      <c r="D69" s="195"/>
      <c r="E69" s="195"/>
      <c r="F69" s="319"/>
      <c r="G69" s="196"/>
      <c r="H69" s="196"/>
      <c r="I69" s="196"/>
      <c r="J69" s="185"/>
      <c r="K69" s="185"/>
      <c r="L69" s="196"/>
      <c r="M69" s="196"/>
    </row>
    <row r="70" spans="2:13" ht="13.5">
      <c r="B70" s="211"/>
      <c r="C70" s="179" t="s">
        <v>459</v>
      </c>
      <c r="D70" s="180" t="e">
        <f>D13+#REF!</f>
        <v>#REF!</v>
      </c>
      <c r="E70" s="180" t="e">
        <f>#REF!+E56+#REF!</f>
        <v>#REF!</v>
      </c>
      <c r="F70" s="320" t="e">
        <f>F13+#REF!+F56+#REF!+#REF!</f>
        <v>#REF!</v>
      </c>
      <c r="G70" s="180" t="e">
        <f>G13+#REF!+G56+#REF!+#REF!</f>
        <v>#REF!</v>
      </c>
      <c r="H70" s="180" t="e">
        <f>H13+#REF!+H56+#REF!+#REF!</f>
        <v>#REF!</v>
      </c>
      <c r="I70" s="180" t="e">
        <f>I13+#REF!+I56+#REF!+#REF!</f>
        <v>#REF!</v>
      </c>
      <c r="J70" s="180">
        <f>J13+J56</f>
        <v>2116192884</v>
      </c>
      <c r="K70" s="180">
        <f>K56+K49</f>
        <v>506306177</v>
      </c>
      <c r="L70" s="180" t="e">
        <f>L13+#REF!+L56+#REF!+#REF!</f>
        <v>#REF!</v>
      </c>
      <c r="M70" s="180" t="e">
        <f>M13+#REF!+M56+#REF!+#REF!</f>
        <v>#REF!</v>
      </c>
    </row>
    <row r="71" spans="2:13" ht="13.5">
      <c r="B71" s="211"/>
      <c r="C71" s="192" t="s">
        <v>460</v>
      </c>
      <c r="D71" s="197"/>
      <c r="E71" s="197"/>
      <c r="F71" s="321"/>
      <c r="G71" s="193"/>
      <c r="H71" s="193"/>
      <c r="I71" s="193"/>
      <c r="J71" s="191"/>
      <c r="K71" s="193">
        <f>J72-K70</f>
        <v>1609886707</v>
      </c>
      <c r="L71" s="193" t="e">
        <f>M70-L70</f>
        <v>#REF!</v>
      </c>
      <c r="M71" s="193"/>
    </row>
    <row r="72" spans="2:13" ht="14.25" thickBot="1">
      <c r="B72" s="212"/>
      <c r="C72" s="198" t="s">
        <v>461</v>
      </c>
      <c r="D72" s="199" t="e">
        <f>D70</f>
        <v>#REF!</v>
      </c>
      <c r="E72" s="199" t="e">
        <f>E70</f>
        <v>#REF!</v>
      </c>
      <c r="F72" s="322" t="e">
        <f aca="true" t="shared" si="18" ref="F72:L72">SUM(F70:F71)</f>
        <v>#REF!</v>
      </c>
      <c r="G72" s="200" t="e">
        <f t="shared" si="18"/>
        <v>#REF!</v>
      </c>
      <c r="H72" s="200" t="e">
        <f t="shared" si="18"/>
        <v>#REF!</v>
      </c>
      <c r="I72" s="200" t="e">
        <f t="shared" si="18"/>
        <v>#REF!</v>
      </c>
      <c r="J72" s="200">
        <f t="shared" si="18"/>
        <v>2116192884</v>
      </c>
      <c r="K72" s="200">
        <f>SUM(K70:K71)</f>
        <v>2116192884</v>
      </c>
      <c r="L72" s="200" t="e">
        <f t="shared" si="18"/>
        <v>#REF!</v>
      </c>
      <c r="M72" s="201" t="e">
        <f>SUM(M70:M71)</f>
        <v>#REF!</v>
      </c>
    </row>
    <row r="73" spans="5:9" ht="14.25" thickTop="1">
      <c r="E73" s="170" t="e">
        <f>D70-E70</f>
        <v>#REF!</v>
      </c>
      <c r="F73" s="202"/>
      <c r="G73" s="202" t="e">
        <f>F70-G70</f>
        <v>#REF!</v>
      </c>
      <c r="I73" s="171" t="e">
        <f>H70-I70</f>
        <v>#REF!</v>
      </c>
    </row>
    <row r="74" spans="6:7" ht="13.5">
      <c r="F74" s="202"/>
      <c r="G74" s="202"/>
    </row>
    <row r="75" spans="6:7" ht="13.5">
      <c r="F75" s="202"/>
      <c r="G75" s="202"/>
    </row>
    <row r="76" spans="2:13" s="219" customFormat="1" ht="15">
      <c r="B76" s="507" t="s">
        <v>509</v>
      </c>
      <c r="C76" s="509"/>
      <c r="D76" s="509"/>
      <c r="E76" s="509"/>
      <c r="F76" s="509"/>
      <c r="G76" s="509"/>
      <c r="H76" s="509"/>
      <c r="I76" s="509"/>
      <c r="J76" s="509"/>
      <c r="K76" s="507" t="s">
        <v>541</v>
      </c>
      <c r="M76" s="507" t="s">
        <v>541</v>
      </c>
    </row>
    <row r="77" spans="1:19" s="168" customFormat="1" ht="13.5">
      <c r="A77" s="218"/>
      <c r="B77" s="511" t="s">
        <v>588</v>
      </c>
      <c r="C77" s="63"/>
      <c r="D77" s="63"/>
      <c r="E77" s="63"/>
      <c r="F77" s="63"/>
      <c r="G77" s="63"/>
      <c r="H77" s="63"/>
      <c r="I77" s="63"/>
      <c r="J77" s="63"/>
      <c r="K77" s="511" t="s">
        <v>473</v>
      </c>
      <c r="M77" s="511" t="s">
        <v>473</v>
      </c>
      <c r="N77"/>
      <c r="O77"/>
      <c r="P77"/>
      <c r="Q77"/>
      <c r="R77"/>
      <c r="S77"/>
    </row>
    <row r="78" spans="1:19" s="168" customFormat="1" ht="13.5">
      <c r="A78" s="218"/>
      <c r="B78" s="510"/>
      <c r="C78" s="63"/>
      <c r="D78" s="63"/>
      <c r="E78" s="63"/>
      <c r="F78" s="63"/>
      <c r="G78" s="63"/>
      <c r="H78" s="63"/>
      <c r="I78" s="63"/>
      <c r="J78" s="63"/>
      <c r="K78" s="63"/>
      <c r="L78" s="510"/>
      <c r="N78"/>
      <c r="O78"/>
      <c r="P78"/>
      <c r="Q78"/>
      <c r="R78"/>
      <c r="S78"/>
    </row>
    <row r="79" spans="1:19" s="168" customFormat="1" ht="13.5">
      <c r="A79" s="218"/>
      <c r="B79" s="169"/>
      <c r="N79"/>
      <c r="O79"/>
      <c r="P79"/>
      <c r="Q79"/>
      <c r="R79"/>
      <c r="S79"/>
    </row>
    <row r="80" spans="1:19" s="168" customFormat="1" ht="13.5">
      <c r="A80" s="218"/>
      <c r="B80" s="169"/>
      <c r="N80"/>
      <c r="O80"/>
      <c r="P80"/>
      <c r="Q80"/>
      <c r="R80"/>
      <c r="S80"/>
    </row>
    <row r="81" spans="3:12" ht="15">
      <c r="C81" s="507" t="s">
        <v>518</v>
      </c>
      <c r="D81" s="509"/>
      <c r="E81" s="509"/>
      <c r="F81" s="509"/>
      <c r="G81" s="509"/>
      <c r="H81" s="509"/>
      <c r="I81" s="509"/>
      <c r="J81" s="509"/>
      <c r="K81" s="509"/>
      <c r="L81" s="509"/>
    </row>
    <row r="82" spans="3:12" ht="13.5">
      <c r="C82" s="506" t="s">
        <v>477</v>
      </c>
      <c r="D82" s="63"/>
      <c r="E82" s="63"/>
      <c r="F82" s="63"/>
      <c r="G82" s="63"/>
      <c r="H82" s="63"/>
      <c r="I82" s="63"/>
      <c r="J82" s="63"/>
      <c r="K82" s="63"/>
      <c r="L82" s="63"/>
    </row>
    <row r="83" spans="1:22" s="168" customFormat="1" ht="15">
      <c r="A83" s="218"/>
      <c r="B83" s="604"/>
      <c r="C83" s="604"/>
      <c r="D83" s="604"/>
      <c r="E83" s="604"/>
      <c r="F83" s="604"/>
      <c r="G83" s="604"/>
      <c r="H83" s="604"/>
      <c r="I83" s="604"/>
      <c r="J83" s="604"/>
      <c r="K83" s="604"/>
      <c r="L83" s="262"/>
      <c r="M83" s="262"/>
      <c r="N83" s="262"/>
      <c r="O83" s="262"/>
      <c r="P83"/>
      <c r="Q83"/>
      <c r="R83"/>
      <c r="S83"/>
      <c r="T83"/>
      <c r="U83"/>
      <c r="V83"/>
    </row>
  </sheetData>
  <sheetProtection/>
  <mergeCells count="13">
    <mergeCell ref="J11:K11"/>
    <mergeCell ref="L11:M11"/>
    <mergeCell ref="B83:K83"/>
    <mergeCell ref="B2:M2"/>
    <mergeCell ref="B3:M3"/>
    <mergeCell ref="B4:M4"/>
    <mergeCell ref="B6:M6"/>
    <mergeCell ref="B7:M7"/>
    <mergeCell ref="B11:B12"/>
    <mergeCell ref="C11:C12"/>
    <mergeCell ref="D11:E11"/>
    <mergeCell ref="F11:G11"/>
    <mergeCell ref="H11:I11"/>
  </mergeCells>
  <printOptions/>
  <pageMargins left="0.1968503937007874" right="0" top="0.57" bottom="0.984251968503937" header="0.1968503937007874" footer="0.1968503937007874"/>
  <pageSetup horizontalDpi="300" verticalDpi="300" orientation="portrait" paperSize="5" scale="75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Ejecucion Presupuestaria</dc:title>
  <dc:subject/>
  <dc:creator>Mario R. Paredes</dc:creator>
  <cp:keywords/>
  <dc:description/>
  <cp:lastModifiedBy>Acer</cp:lastModifiedBy>
  <cp:lastPrinted>2016-10-24T15:28:48Z</cp:lastPrinted>
  <dcterms:created xsi:type="dcterms:W3CDTF">2004-02-17T12:05:59Z</dcterms:created>
  <dcterms:modified xsi:type="dcterms:W3CDTF">2016-11-01T15:29:01Z</dcterms:modified>
  <cp:category/>
  <cp:version/>
  <cp:contentType/>
  <cp:contentStatus/>
</cp:coreProperties>
</file>